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600" windowHeight="11580" activeTab="10"/>
  </bookViews>
  <sheets>
    <sheet name="1mell" sheetId="1" r:id="rId1"/>
    <sheet name="2mell" sheetId="2" r:id="rId2"/>
    <sheet name="3mell" sheetId="3" r:id="rId3"/>
    <sheet name="5mell" sheetId="4" r:id="rId4"/>
    <sheet name="6mell" sheetId="5" r:id="rId5"/>
    <sheet name="4mell" sheetId="6" r:id="rId6"/>
    <sheet name="7mell" sheetId="7" r:id="rId7"/>
    <sheet name="8mell" sheetId="8" r:id="rId8"/>
    <sheet name="9mell" sheetId="9" r:id="rId9"/>
    <sheet name="10mel" sheetId="10" r:id="rId10"/>
    <sheet name="11mell" sheetId="11" r:id="rId11"/>
    <sheet name="Munka1" sheetId="12" r:id="rId12"/>
  </sheets>
  <definedNames/>
  <calcPr fullCalcOnLoad="1"/>
</workbook>
</file>

<file path=xl/sharedStrings.xml><?xml version="1.0" encoding="utf-8"?>
<sst xmlns="http://schemas.openxmlformats.org/spreadsheetml/2006/main" count="1952" uniqueCount="451">
  <si>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</si>
  <si>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</si>
  <si>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</si>
  <si>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</si>
  <si>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</si>
  <si>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</si>
  <si>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</si>
  <si>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</si>
  <si>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</si>
  <si>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</si>
  <si>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</si>
  <si>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</si>
  <si>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</si>
  <si>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</si>
  <si>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</si>
  <si>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</si>
  <si>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</si>
  <si>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</si>
  <si>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</si>
  <si>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</si>
  <si>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</si>
  <si>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</si>
  <si>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</si>
  <si>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</si>
  <si>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</si>
  <si>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</si>
  <si>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</si>
  <si>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</si>
  <si>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</si>
  <si>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</si>
  <si>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</si>
  <si>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</si>
  <si>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</si>
  <si>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</si>
  <si>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</si>
  <si>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</si>
  <si>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</si>
  <si>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</si>
  <si>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</si>
  <si>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</si>
  <si>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</si>
  <si>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</si>
  <si>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</si>
  <si>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</si>
  <si>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</si>
  <si>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</si>
  <si>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</si>
  <si>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</si>
  <si>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</si>
  <si>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</si>
  <si>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</si>
  <si>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</si>
  <si>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</si>
  <si>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</si>
  <si>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</si>
  <si>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</si>
  <si>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</si>
  <si>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</si>
  <si>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</si>
  <si>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</si>
  <si>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</si>
  <si>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</si>
  <si>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</si>
  <si>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</si>
  <si>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</si>
  <si>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</si>
  <si>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</si>
  <si>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</si>
  <si>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</si>
  <si>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</si>
  <si>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</si>
  <si>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</si>
  <si>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</si>
  <si>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</si>
  <si>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</si>
  <si>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</si>
  <si>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</si>
  <si>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</si>
  <si>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</si>
  <si>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</si>
  <si>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</si>
  <si>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</si>
  <si>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</si>
  <si>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</si>
  <si>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</si>
  <si>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</si>
  <si>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</si>
  <si>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</si>
  <si>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</si>
  <si>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</si>
  <si>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</si>
  <si>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</si>
  <si>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</si>
  <si>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</si>
  <si>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</si>
  <si>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</si>
  <si>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</si>
  <si>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</si>
  <si>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</si>
  <si>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</si>
  <si>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</si>
  <si>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</si>
  <si>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</si>
  <si>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</si>
  <si>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</si>
  <si>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</si>
  <si>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</si>
  <si>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</si>
  <si>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</si>
  <si>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</si>
  <si>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</si>
  <si>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</si>
  <si>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</si>
  <si>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</si>
  <si>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</si>
  <si>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</si>
  <si>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</si>
  <si>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</si>
  <si>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</si>
  <si>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</si>
  <si>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</si>
  <si>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</si>
  <si>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</si>
  <si>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</si>
  <si>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</si>
  <si>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</si>
  <si>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</si>
  <si>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</si>
  <si>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</si>
  <si>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</si>
  <si>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</si>
  <si>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</si>
  <si>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</si>
  <si>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</si>
  <si>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</si>
  <si>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</si>
  <si>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</si>
  <si>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</si>
  <si>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</si>
  <si>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</si>
  <si>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</si>
  <si>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</si>
  <si>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</si>
  <si>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</si>
  <si>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</si>
  <si>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</si>
  <si>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</si>
  <si>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</si>
  <si>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</si>
  <si>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</si>
  <si>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</si>
  <si>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</si>
  <si>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</si>
  <si>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</si>
  <si>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</si>
  <si>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</si>
  <si>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</si>
  <si>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</si>
  <si>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</si>
  <si>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</si>
  <si>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</si>
  <si>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</si>
  <si>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</si>
  <si>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</si>
  <si>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</si>
  <si>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</si>
  <si>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</si>
  <si>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</si>
  <si>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</si>
  <si>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</si>
  <si>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</si>
  <si>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</si>
  <si>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</si>
  <si>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</si>
  <si>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</si>
  <si>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</si>
  <si>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</si>
  <si>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</si>
  <si>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</si>
  <si>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</si>
  <si>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</si>
  <si>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</si>
  <si>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</si>
  <si>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</si>
  <si>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</si>
  <si>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</si>
  <si>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</si>
  <si>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</si>
  <si>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</si>
  <si>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</si>
  <si>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</si>
  <si>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</si>
  <si>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</si>
  <si>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</si>
  <si>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</si>
  <si>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</si>
  <si>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</si>
  <si>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</si>
  <si>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</si>
  <si>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</si>
  <si>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</si>
  <si>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</si>
  <si>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</si>
  <si>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</si>
  <si>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</si>
  <si>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</si>
  <si>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</si>
  <si>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</si>
  <si>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</si>
  <si>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</si>
  <si>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</si>
  <si>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</si>
  <si>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</si>
  <si>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</si>
  <si>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</si>
  <si>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</si>
  <si>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</si>
  <si>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</si>
  <si>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</si>
  <si>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</si>
  <si>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</si>
  <si>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</si>
  <si>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</si>
  <si>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</si>
  <si>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</si>
  <si>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</si>
  <si>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</si>
  <si>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</si>
  <si>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</si>
  <si>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</si>
  <si>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</si>
  <si>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</si>
  <si>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</si>
  <si>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</si>
  <si>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</si>
  <si>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</si>
  <si>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</si>
  <si>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</si>
  <si>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</si>
  <si>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</si>
  <si>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</si>
  <si>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</si>
  <si>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</si>
  <si>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1.számú táblázat</t>
  </si>
  <si>
    <t>2.számú táblázat</t>
  </si>
  <si>
    <t>Összesen:</t>
  </si>
  <si>
    <t>Ebből kötelező feladat:</t>
  </si>
  <si>
    <t>Ebből önként vállalt feladat:</t>
  </si>
  <si>
    <t>Ebből államigazgatási feladat:</t>
  </si>
  <si>
    <t>ezer forint</t>
  </si>
  <si>
    <t>D</t>
  </si>
  <si>
    <t>E</t>
  </si>
  <si>
    <t>F</t>
  </si>
  <si>
    <t>Előirányzat-csoport, kiemelt előirányzat megnevezése</t>
  </si>
  <si>
    <t>Bevételek</t>
  </si>
  <si>
    <t xml:space="preserve"> 10.</t>
  </si>
  <si>
    <t>BEVÉTELEK ÖSSZESEN: (9+16)</t>
  </si>
  <si>
    <t>Kiadások</t>
  </si>
  <si>
    <t>Hivatal</t>
  </si>
  <si>
    <t>Óvoda</t>
  </si>
  <si>
    <t>Összesen</t>
  </si>
  <si>
    <t>Sorszám</t>
  </si>
  <si>
    <t>Sor-szám</t>
  </si>
  <si>
    <t>Ebből kötelező feladat</t>
  </si>
  <si>
    <t>Ebből önként vállalt feladat</t>
  </si>
  <si>
    <t>Öszesen:</t>
  </si>
  <si>
    <t>Ebből Önként vállalt feladat</t>
  </si>
  <si>
    <t>Ebből államigazga-tási feladat</t>
  </si>
  <si>
    <t>Ebből államigaz-gatási feladat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</si>
  <si>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</si>
  <si>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</si>
  <si>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</si>
  <si>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</si>
  <si>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</si>
  <si>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</si>
  <si>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</si>
  <si>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</si>
  <si>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</si>
  <si>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</si>
  <si>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</si>
  <si>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</si>
  <si>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</si>
  <si>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</si>
  <si>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</si>
  <si>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</si>
  <si>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</si>
  <si>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</si>
  <si>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</si>
  <si>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</si>
  <si>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</si>
  <si>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</si>
  <si>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</si>
  <si>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</si>
  <si>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</si>
  <si>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</si>
  <si>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</si>
  <si>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</si>
  <si>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</si>
  <si>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</si>
  <si>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</si>
  <si>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</si>
  <si>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</si>
  <si>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</si>
  <si>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</si>
  <si>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</si>
  <si>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</si>
  <si>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</si>
  <si>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</si>
  <si>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</si>
  <si>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</si>
  <si>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</si>
  <si>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</si>
  <si>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</si>
  <si>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</si>
  <si>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</si>
  <si>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</si>
  <si>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</si>
  <si>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</si>
  <si>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</si>
  <si>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</si>
  <si>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</si>
  <si>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</si>
  <si>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</si>
  <si>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</si>
  <si>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</si>
  <si>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</si>
  <si>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</si>
  <si>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</si>
  <si>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</si>
  <si>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</si>
  <si>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</si>
  <si>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</si>
  <si>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</si>
  <si>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</si>
  <si>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</si>
  <si>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</si>
  <si>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</si>
  <si>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</si>
  <si>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</si>
  <si>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</si>
  <si>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</si>
  <si>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</si>
  <si>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</si>
  <si>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</si>
  <si>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</si>
  <si>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</si>
  <si>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</si>
  <si>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</si>
  <si>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</si>
  <si>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</si>
  <si>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</si>
  <si>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Beruházás  megnevezése</t>
  </si>
  <si>
    <t>Teljes költség</t>
  </si>
  <si>
    <t>Kivitelezés kezdési és befejezési éve</t>
  </si>
  <si>
    <t>ÖSSZESEN:</t>
  </si>
  <si>
    <t>Tiszagyulaháza-Újtikos belterületi vízrendezési II. ütem</t>
  </si>
  <si>
    <t>EU-s projekt neve, azonosítója:</t>
  </si>
  <si>
    <t>Források</t>
  </si>
  <si>
    <t>2014.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</si>
  <si>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</si>
  <si>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</si>
  <si>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</si>
  <si>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</si>
  <si>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</si>
  <si>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</si>
  <si>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</si>
  <si>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</si>
  <si>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</si>
  <si>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</si>
  <si>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</si>
  <si>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</si>
  <si>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</si>
  <si>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Tiszagyulaháza-Újtikos belterületi vízrendezés II.ütem ÉAOP-5.1.2/D2-11-2011-0026</t>
  </si>
  <si>
    <t xml:space="preserve">   Rövid lejáratú  hitelek, kölcsönök felvétele</t>
  </si>
  <si>
    <t>2. sz. táblázat</t>
  </si>
  <si>
    <t>G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</si>
  <si>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</si>
  <si>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</si>
  <si>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</si>
  <si>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</si>
  <si>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</si>
  <si>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</si>
  <si>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</si>
  <si>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</si>
  <si>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</si>
  <si>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</si>
  <si>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</si>
  <si>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</si>
  <si>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</si>
  <si>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</si>
  <si>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</si>
  <si>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</si>
  <si>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</si>
  <si>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</si>
  <si>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</si>
  <si>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</si>
  <si>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</si>
  <si>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</si>
  <si>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</si>
  <si>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</si>
  <si>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</si>
  <si>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</si>
  <si>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</si>
  <si>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</si>
  <si>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</si>
  <si>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</si>
  <si>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</si>
  <si>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</si>
  <si>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</si>
  <si>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</si>
  <si>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</si>
  <si>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</si>
  <si>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</si>
  <si>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</si>
  <si>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</si>
  <si>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</si>
  <si>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1. sz. táblázat</t>
  </si>
  <si>
    <t>H</t>
  </si>
  <si>
    <t>I</t>
  </si>
  <si>
    <t>J</t>
  </si>
  <si>
    <t>K</t>
  </si>
  <si>
    <t>L</t>
  </si>
  <si>
    <t>M</t>
  </si>
  <si>
    <t>N</t>
  </si>
  <si>
    <t>O</t>
  </si>
  <si>
    <t>Működési célú költségvetési támogatások és kiegészítő támogatások</t>
  </si>
  <si>
    <t>2015. évi előirányzat</t>
  </si>
  <si>
    <t>Működési célú költsgégvetési támogatások és kiegészítő támogatások</t>
  </si>
  <si>
    <t>Felhasználás
2014. XII.31-ig</t>
  </si>
  <si>
    <t xml:space="preserve">
2015. év utáni szükséglet
</t>
  </si>
  <si>
    <t>2016.</t>
  </si>
  <si>
    <t>2016. után</t>
  </si>
  <si>
    <t>2013. évi tény</t>
  </si>
  <si>
    <t>2014. évi 
várható</t>
  </si>
  <si>
    <t>fordított áfa</t>
  </si>
  <si>
    <t>átadott pénzeszköz felhalmozásra</t>
  </si>
  <si>
    <t>átadott pénzeszköz működésre</t>
  </si>
  <si>
    <t>2015. módosított évi előirányzat</t>
  </si>
  <si>
    <t>2015. évi módosított előirányzat</t>
  </si>
  <si>
    <t>2015.módosított évi előirányzat</t>
  </si>
  <si>
    <t>2015. évi módisított előirányzat</t>
  </si>
  <si>
    <t>óvoda felújítás</t>
  </si>
  <si>
    <t>busz beszerzés</t>
  </si>
  <si>
    <t>10.110</t>
  </si>
  <si>
    <t>közmunka programok eszköz beszerzései</t>
  </si>
  <si>
    <t>közmunka programok építményei</t>
  </si>
  <si>
    <t>ingatlan vásárlás</t>
  </si>
  <si>
    <t>egyéb beruházás</t>
  </si>
  <si>
    <t>pénzeszköz átadás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</si>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</sst>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12"/>
      <name val="Times New Roman"/>
      <family val="1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50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7" fillId="0" borderId="10" xfId="60" applyNumberFormat="1" applyFont="1" applyFill="1" applyBorder="1" applyAlignment="1" applyProtection="1">
      <alignment horizontal="left" vertical="center"/>
      <protection/>
    </xf>
    <xf numFmtId="0" fontId="8" fillId="0" borderId="10" xfId="59" applyFont="1" applyFill="1" applyBorder="1" applyAlignment="1" applyProtection="1">
      <alignment horizontal="right" vertical="center"/>
      <protection/>
    </xf>
    <xf numFmtId="0" fontId="9" fillId="0" borderId="11" xfId="60" applyFont="1" applyFill="1" applyBorder="1" applyAlignment="1" applyProtection="1">
      <alignment horizontal="center" vertical="center" wrapText="1"/>
      <protection/>
    </xf>
    <xf numFmtId="0" fontId="9" fillId="0" borderId="12" xfId="60" applyFont="1" applyFill="1" applyBorder="1" applyAlignment="1" applyProtection="1">
      <alignment horizontal="center" vertical="center" wrapText="1"/>
      <protection/>
    </xf>
    <xf numFmtId="0" fontId="9" fillId="0" borderId="13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center" vertical="center" wrapText="1"/>
      <protection/>
    </xf>
    <xf numFmtId="0" fontId="10" fillId="0" borderId="15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Fill="1" applyBorder="1" applyAlignment="1" applyProtection="1">
      <alignment horizontal="center" vertical="center" wrapText="1"/>
      <protection/>
    </xf>
    <xf numFmtId="0" fontId="10" fillId="0" borderId="11" xfId="60" applyFont="1" applyFill="1" applyBorder="1" applyAlignment="1" applyProtection="1">
      <alignment horizontal="left" vertical="center" wrapText="1" indent="1"/>
      <protection/>
    </xf>
    <xf numFmtId="0" fontId="10" fillId="0" borderId="12" xfId="60" applyFont="1" applyFill="1" applyBorder="1" applyAlignment="1" applyProtection="1">
      <alignment horizontal="left" vertical="center" wrapText="1" indent="1"/>
      <protection/>
    </xf>
    <xf numFmtId="164" fontId="10" fillId="0" borderId="17" xfId="60" applyNumberFormat="1" applyFont="1" applyFill="1" applyBorder="1" applyAlignment="1" applyProtection="1">
      <alignment horizontal="right" vertical="center" wrapText="1" indent="1"/>
      <protection/>
    </xf>
    <xf numFmtId="49" fontId="11" fillId="0" borderId="18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9" xfId="59" applyFont="1" applyBorder="1" applyAlignment="1" applyProtection="1">
      <alignment horizontal="left" wrapText="1" indent="1"/>
      <protection/>
    </xf>
    <xf numFmtId="164" fontId="11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22" xfId="59" applyFont="1" applyBorder="1" applyAlignment="1" applyProtection="1">
      <alignment horizontal="left" wrapText="1" indent="1"/>
      <protection/>
    </xf>
    <xf numFmtId="0" fontId="13" fillId="0" borderId="12" xfId="59" applyFont="1" applyBorder="1" applyAlignment="1" applyProtection="1">
      <alignment horizontal="left" vertical="center" wrapText="1" indent="1"/>
      <protection/>
    </xf>
    <xf numFmtId="164" fontId="11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25" xfId="59" applyFont="1" applyBorder="1" applyAlignment="1" applyProtection="1">
      <alignment horizontal="left" wrapText="1" indent="1"/>
      <protection/>
    </xf>
    <xf numFmtId="164" fontId="11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7" xfId="60" applyFont="1" applyFill="1" applyBorder="1" applyAlignment="1" applyProtection="1">
      <alignment horizontal="left" vertical="center" wrapText="1" indent="1"/>
      <protection/>
    </xf>
    <xf numFmtId="0" fontId="10" fillId="0" borderId="28" xfId="60" applyFont="1" applyFill="1" applyBorder="1" applyAlignment="1" applyProtection="1">
      <alignment horizontal="left" vertical="center" wrapText="1" indent="1"/>
      <protection/>
    </xf>
    <xf numFmtId="164" fontId="10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9" applyFont="1" applyBorder="1" applyAlignment="1" applyProtection="1">
      <alignment wrapText="1"/>
      <protection/>
    </xf>
    <xf numFmtId="0" fontId="12" fillId="0" borderId="25" xfId="59" applyFont="1" applyBorder="1" applyAlignment="1" applyProtection="1">
      <alignment wrapText="1"/>
      <protection/>
    </xf>
    <xf numFmtId="0" fontId="12" fillId="0" borderId="18" xfId="59" applyFont="1" applyBorder="1" applyAlignment="1" applyProtection="1">
      <alignment wrapText="1"/>
      <protection/>
    </xf>
    <xf numFmtId="0" fontId="12" fillId="0" borderId="21" xfId="59" applyFont="1" applyBorder="1" applyAlignment="1" applyProtection="1">
      <alignment wrapText="1"/>
      <protection/>
    </xf>
    <xf numFmtId="0" fontId="12" fillId="0" borderId="24" xfId="59" applyFont="1" applyBorder="1" applyAlignment="1" applyProtection="1">
      <alignment wrapText="1"/>
      <protection/>
    </xf>
    <xf numFmtId="164" fontId="10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59" applyFont="1" applyBorder="1" applyAlignment="1" applyProtection="1">
      <alignment wrapText="1"/>
      <protection/>
    </xf>
    <xf numFmtId="0" fontId="13" fillId="0" borderId="30" xfId="59" applyFont="1" applyBorder="1" applyAlignment="1" applyProtection="1">
      <alignment wrapText="1"/>
      <protection/>
    </xf>
    <xf numFmtId="0" fontId="13" fillId="0" borderId="31" xfId="59" applyFont="1" applyBorder="1" applyAlignment="1" applyProtection="1">
      <alignment wrapText="1"/>
      <protection/>
    </xf>
    <xf numFmtId="0" fontId="13" fillId="0" borderId="0" xfId="59" applyFont="1" applyBorder="1" applyAlignment="1" applyProtection="1">
      <alignment wrapText="1"/>
      <protection/>
    </xf>
    <xf numFmtId="164" fontId="10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Border="1" applyAlignment="1" applyProtection="1">
      <alignment vertical="center" wrapText="1"/>
      <protection/>
    </xf>
    <xf numFmtId="164" fontId="14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8" fillId="0" borderId="10" xfId="59" applyFont="1" applyFill="1" applyBorder="1" applyAlignment="1" applyProtection="1">
      <alignment horizontal="right"/>
      <protection/>
    </xf>
    <xf numFmtId="0" fontId="10" fillId="0" borderId="11" xfId="60" applyFont="1" applyFill="1" applyBorder="1" applyAlignment="1" applyProtection="1">
      <alignment horizontal="center" vertical="center" wrapText="1"/>
      <protection/>
    </xf>
    <xf numFmtId="0" fontId="10" fillId="0" borderId="12" xfId="60" applyFont="1" applyFill="1" applyBorder="1" applyAlignment="1" applyProtection="1">
      <alignment horizontal="center" vertical="center" wrapText="1"/>
      <protection/>
    </xf>
    <xf numFmtId="0" fontId="10" fillId="0" borderId="17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left" vertical="center" wrapText="1" indent="1"/>
      <protection/>
    </xf>
    <xf numFmtId="0" fontId="10" fillId="0" borderId="15" xfId="60" applyFont="1" applyFill="1" applyBorder="1" applyAlignment="1" applyProtection="1">
      <alignment vertical="center" wrapText="1"/>
      <protection/>
    </xf>
    <xf numFmtId="164" fontId="10" fillId="0" borderId="16" xfId="60" applyNumberFormat="1" applyFont="1" applyFill="1" applyBorder="1" applyAlignment="1" applyProtection="1">
      <alignment horizontal="right" vertical="center" wrapText="1" indent="1"/>
      <protection/>
    </xf>
    <xf numFmtId="49" fontId="11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33" xfId="60" applyFont="1" applyFill="1" applyBorder="1" applyAlignment="1" applyProtection="1">
      <alignment horizontal="left" vertical="center" wrapText="1" indent="1"/>
      <protection/>
    </xf>
    <xf numFmtId="164" fontId="11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2" xfId="60" applyFont="1" applyFill="1" applyBorder="1" applyAlignment="1" applyProtection="1">
      <alignment horizontal="left" vertical="center" wrapText="1" indent="1"/>
      <protection/>
    </xf>
    <xf numFmtId="0" fontId="11" fillId="0" borderId="35" xfId="60" applyFont="1" applyFill="1" applyBorder="1" applyAlignment="1" applyProtection="1">
      <alignment horizontal="left" vertical="center" wrapText="1" indent="1"/>
      <protection/>
    </xf>
    <xf numFmtId="0" fontId="11" fillId="0" borderId="0" xfId="60" applyFont="1" applyFill="1" applyBorder="1" applyAlignment="1" applyProtection="1">
      <alignment horizontal="left" vertical="center" wrapText="1" indent="1"/>
      <protection/>
    </xf>
    <xf numFmtId="0" fontId="11" fillId="0" borderId="22" xfId="60" applyFont="1" applyFill="1" applyBorder="1" applyAlignment="1" applyProtection="1">
      <alignment horizontal="left" indent="6"/>
      <protection/>
    </xf>
    <xf numFmtId="0" fontId="11" fillId="0" borderId="22" xfId="60" applyFont="1" applyFill="1" applyBorder="1" applyAlignment="1" applyProtection="1">
      <alignment horizontal="left" vertical="center" wrapText="1" indent="6"/>
      <protection/>
    </xf>
    <xf numFmtId="49" fontId="11" fillId="0" borderId="36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25" xfId="60" applyFont="1" applyFill="1" applyBorder="1" applyAlignment="1" applyProtection="1">
      <alignment horizontal="left" vertical="center" wrapText="1" indent="6"/>
      <protection/>
    </xf>
    <xf numFmtId="49" fontId="11" fillId="0" borderId="27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28" xfId="60" applyFont="1" applyFill="1" applyBorder="1" applyAlignment="1" applyProtection="1">
      <alignment horizontal="left" vertical="center" wrapText="1" indent="6"/>
      <protection/>
    </xf>
    <xf numFmtId="164" fontId="11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60" applyFont="1" applyFill="1" applyBorder="1" applyAlignment="1" applyProtection="1">
      <alignment vertical="center" wrapText="1"/>
      <protection/>
    </xf>
    <xf numFmtId="0" fontId="11" fillId="0" borderId="25" xfId="60" applyFont="1" applyFill="1" applyBorder="1" applyAlignment="1" applyProtection="1">
      <alignment horizontal="left" vertical="center" wrapText="1" indent="1"/>
      <protection/>
    </xf>
    <xf numFmtId="164" fontId="11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5" xfId="59" applyFont="1" applyBorder="1" applyAlignment="1" applyProtection="1">
      <alignment horizontal="left" vertical="center" wrapText="1" indent="1"/>
      <protection/>
    </xf>
    <xf numFmtId="0" fontId="12" fillId="0" borderId="22" xfId="59" applyFont="1" applyBorder="1" applyAlignment="1" applyProtection="1">
      <alignment horizontal="left" vertical="center" wrapText="1" indent="1"/>
      <protection/>
    </xf>
    <xf numFmtId="0" fontId="11" fillId="0" borderId="19" xfId="60" applyFont="1" applyFill="1" applyBorder="1" applyAlignment="1" applyProtection="1">
      <alignment horizontal="left" vertical="center" wrapText="1" indent="6"/>
      <protection/>
    </xf>
    <xf numFmtId="164" fontId="11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60" applyFont="1" applyFill="1" applyBorder="1" applyAlignment="1" applyProtection="1">
      <alignment horizontal="left" vertical="center" wrapText="1" indent="1"/>
      <protection/>
    </xf>
    <xf numFmtId="0" fontId="11" fillId="0" borderId="19" xfId="60" applyFont="1" applyFill="1" applyBorder="1" applyAlignment="1" applyProtection="1">
      <alignment horizontal="left" vertical="center" wrapText="1" indent="1"/>
      <protection/>
    </xf>
    <xf numFmtId="49" fontId="11" fillId="0" borderId="22" xfId="60" applyNumberFormat="1" applyFont="1" applyFill="1" applyBorder="1" applyAlignment="1" applyProtection="1">
      <alignment horizontal="left" vertical="center" wrapText="1" indent="1"/>
      <protection/>
    </xf>
    <xf numFmtId="164" fontId="11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8" xfId="60" applyFont="1" applyFill="1" applyBorder="1" applyAlignment="1" applyProtection="1">
      <alignment horizontal="left" vertical="center" wrapText="1" indent="1"/>
      <protection/>
    </xf>
    <xf numFmtId="0" fontId="11" fillId="0" borderId="39" xfId="60" applyFont="1" applyFill="1" applyBorder="1" applyAlignment="1" applyProtection="1">
      <alignment horizontal="left" vertical="center" wrapText="1" indent="1"/>
      <protection/>
    </xf>
    <xf numFmtId="164" fontId="13" fillId="0" borderId="17" xfId="59" applyNumberFormat="1" applyFont="1" applyBorder="1" applyAlignment="1" applyProtection="1">
      <alignment horizontal="right" vertical="center" wrapText="1" indent="1"/>
      <protection/>
    </xf>
    <xf numFmtId="164" fontId="15" fillId="0" borderId="17" xfId="59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59" applyFont="1" applyBorder="1" applyAlignment="1" applyProtection="1">
      <alignment horizontal="left" vertical="center" wrapText="1" indent="1"/>
      <protection/>
    </xf>
    <xf numFmtId="0" fontId="15" fillId="0" borderId="31" xfId="59" applyFont="1" applyBorder="1" applyAlignment="1" applyProtection="1">
      <alignment horizontal="left" vertical="center" wrapText="1" indent="1"/>
      <protection/>
    </xf>
    <xf numFmtId="0" fontId="2" fillId="0" borderId="0" xfId="59" applyFont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0" fontId="17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 quotePrefix="1">
      <alignment horizontal="right" vertical="center" indent="1"/>
      <protection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>
      <alignment vertical="center"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10" fillId="0" borderId="30" xfId="60" applyFont="1" applyFill="1" applyBorder="1" applyAlignment="1" applyProtection="1">
      <alignment horizontal="center" vertical="center" wrapText="1"/>
      <protection/>
    </xf>
    <xf numFmtId="49" fontId="11" fillId="0" borderId="18" xfId="6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left" wrapText="1" indent="1"/>
      <protection/>
    </xf>
    <xf numFmtId="0" fontId="18" fillId="0" borderId="0" xfId="0" applyFont="1" applyFill="1" applyAlignment="1">
      <alignment vertical="center" wrapText="1"/>
    </xf>
    <xf numFmtId="49" fontId="11" fillId="0" borderId="21" xfId="6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left" wrapText="1" indent="1"/>
      <protection/>
    </xf>
    <xf numFmtId="0" fontId="19" fillId="0" borderId="0" xfId="0" applyFont="1" applyFill="1" applyAlignment="1">
      <alignment vertical="center" wrapText="1"/>
    </xf>
    <xf numFmtId="0" fontId="13" fillId="0" borderId="12" xfId="0" applyFont="1" applyBorder="1" applyAlignment="1" applyProtection="1">
      <alignment horizontal="left" vertical="center" wrapText="1" indent="1"/>
      <protection/>
    </xf>
    <xf numFmtId="49" fontId="11" fillId="0" borderId="24" xfId="6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left" wrapText="1" indent="1"/>
      <protection/>
    </xf>
    <xf numFmtId="164" fontId="11" fillId="0" borderId="20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1" xfId="60" applyFont="1" applyFill="1" applyBorder="1" applyAlignment="1" applyProtection="1">
      <alignment horizontal="left" vertical="center" wrapText="1" indent="1"/>
      <protection/>
    </xf>
    <xf numFmtId="164" fontId="10" fillId="0" borderId="4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2" fillId="0" borderId="25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21" xfId="0" applyFont="1" applyBorder="1" applyAlignment="1" applyProtection="1">
      <alignment horizontal="center" wrapText="1"/>
      <protection/>
    </xf>
    <xf numFmtId="0" fontId="12" fillId="0" borderId="24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164" fontId="10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0" applyFont="1" applyFill="1" applyAlignment="1">
      <alignment vertical="center" wrapText="1"/>
    </xf>
    <xf numFmtId="49" fontId="11" fillId="0" borderId="32" xfId="60" applyNumberFormat="1" applyFont="1" applyFill="1" applyBorder="1" applyAlignment="1" applyProtection="1">
      <alignment horizontal="center" vertical="center" wrapText="1"/>
      <protection/>
    </xf>
    <xf numFmtId="49" fontId="11" fillId="0" borderId="36" xfId="60" applyNumberFormat="1" applyFont="1" applyFill="1" applyBorder="1" applyAlignment="1" applyProtection="1">
      <alignment horizontal="center" vertical="center" wrapText="1"/>
      <protection/>
    </xf>
    <xf numFmtId="49" fontId="11" fillId="0" borderId="27" xfId="6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left" vertical="center" wrapText="1" indent="1"/>
      <protection/>
    </xf>
    <xf numFmtId="0" fontId="12" fillId="0" borderId="22" xfId="0" applyFont="1" applyBorder="1" applyAlignment="1" applyProtection="1">
      <alignment horizontal="left" vertical="center" wrapText="1" indent="1"/>
      <protection/>
    </xf>
    <xf numFmtId="16" fontId="41" fillId="0" borderId="0" xfId="0" applyNumberFormat="1" applyFont="1" applyFill="1" applyAlignment="1">
      <alignment vertical="center" wrapText="1"/>
    </xf>
    <xf numFmtId="164" fontId="13" fillId="0" borderId="17" xfId="0" applyNumberFormat="1" applyFont="1" applyBorder="1" applyAlignment="1" applyProtection="1">
      <alignment horizontal="right" vertical="center" wrapText="1" indent="1"/>
      <protection/>
    </xf>
    <xf numFmtId="164" fontId="15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164" fontId="11" fillId="33" borderId="23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0" applyNumberFormat="1" applyFont="1" applyFill="1" applyBorder="1" applyAlignment="1" applyProtection="1">
      <alignment horizontal="center" vertical="center" wrapText="1"/>
      <protection/>
    </xf>
    <xf numFmtId="164" fontId="10" fillId="0" borderId="13" xfId="0" applyNumberFormat="1" applyFont="1" applyFill="1" applyBorder="1" applyAlignment="1" applyProtection="1">
      <alignment horizontal="center" vertical="center" wrapText="1"/>
      <protection/>
    </xf>
    <xf numFmtId="164" fontId="10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10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15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right" vertical="center" wrapText="1" indent="1"/>
      <protection/>
    </xf>
    <xf numFmtId="164" fontId="41" fillId="0" borderId="0" xfId="0" applyNumberFormat="1" applyFont="1" applyFill="1" applyAlignment="1" applyProtection="1">
      <alignment vertical="center" wrapText="1"/>
      <protection/>
    </xf>
    <xf numFmtId="164" fontId="4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50" xfId="0" applyNumberFormat="1" applyFont="1" applyFill="1" applyBorder="1" applyAlignment="1" applyProtection="1">
      <alignment horizontal="center" vertical="center" wrapText="1"/>
      <protection/>
    </xf>
    <xf numFmtId="164" fontId="9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10" fillId="0" borderId="42" xfId="0" applyNumberFormat="1" applyFont="1" applyFill="1" applyBorder="1" applyAlignment="1" applyProtection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horizontal="center" vertical="center" wrapText="1"/>
      <protection/>
    </xf>
    <xf numFmtId="164" fontId="10" fillId="0" borderId="12" xfId="0" applyNumberFormat="1" applyFont="1" applyFill="1" applyBorder="1" applyAlignment="1" applyProtection="1">
      <alignment horizontal="center" vertical="center" wrapText="1"/>
      <protection/>
    </xf>
    <xf numFmtId="164" fontId="10" fillId="0" borderId="50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center" vertical="center" wrapText="1"/>
      <protection/>
    </xf>
    <xf numFmtId="164" fontId="41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Continuous" vertical="center" wrapText="1"/>
      <protection/>
    </xf>
    <xf numFmtId="164" fontId="41" fillId="0" borderId="0" xfId="0" applyNumberFormat="1" applyFont="1" applyFill="1" applyAlignment="1" applyProtection="1">
      <alignment horizontal="centerContinuous" vertical="center"/>
      <protection/>
    </xf>
    <xf numFmtId="164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41" fillId="0" borderId="0" xfId="0" applyNumberFormat="1" applyFont="1" applyFill="1" applyAlignment="1">
      <alignment vertical="center" wrapText="1"/>
    </xf>
    <xf numFmtId="164" fontId="9" fillId="0" borderId="42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10" fillId="0" borderId="30" xfId="0" applyNumberFormat="1" applyFont="1" applyFill="1" applyBorder="1" applyAlignment="1" applyProtection="1">
      <alignment horizontal="center" vertical="center" wrapText="1"/>
      <protection/>
    </xf>
    <xf numFmtId="164" fontId="10" fillId="0" borderId="31" xfId="0" applyNumberFormat="1" applyFont="1" applyFill="1" applyBorder="1" applyAlignment="1" applyProtection="1">
      <alignment horizontal="center" vertical="center" wrapText="1"/>
      <protection/>
    </xf>
    <xf numFmtId="164" fontId="10" fillId="0" borderId="60" xfId="0" applyNumberFormat="1" applyFont="1" applyFill="1" applyBorder="1" applyAlignment="1" applyProtection="1">
      <alignment horizontal="center" vertical="center" wrapText="1"/>
      <protection/>
    </xf>
    <xf numFmtId="164" fontId="10" fillId="0" borderId="43" xfId="0" applyNumberFormat="1" applyFont="1" applyFill="1" applyBorder="1" applyAlignment="1" applyProtection="1">
      <alignment horizontal="center" vertical="center" wrapText="1"/>
      <protection/>
    </xf>
    <xf numFmtId="164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11" fillId="0" borderId="22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5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6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10" fillId="0" borderId="12" xfId="0" applyNumberFormat="1" applyFont="1" applyFill="1" applyBorder="1" applyAlignment="1" applyProtection="1">
      <alignment horizontal="center" vertical="center" wrapText="1"/>
      <protection/>
    </xf>
    <xf numFmtId="164" fontId="10" fillId="33" borderId="12" xfId="0" applyNumberFormat="1" applyFont="1" applyFill="1" applyBorder="1" applyAlignment="1" applyProtection="1">
      <alignment horizontal="center" vertical="center" wrapText="1"/>
      <protection/>
    </xf>
    <xf numFmtId="164" fontId="10" fillId="0" borderId="62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41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41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41" fillId="0" borderId="0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0" fontId="15" fillId="0" borderId="63" xfId="0" applyFont="1" applyFill="1" applyBorder="1" applyAlignment="1">
      <alignment horizontal="center"/>
    </xf>
    <xf numFmtId="0" fontId="9" fillId="0" borderId="6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41" fillId="0" borderId="42" xfId="0" applyFont="1" applyFill="1" applyBorder="1" applyAlignment="1">
      <alignment horizontal="center"/>
    </xf>
    <xf numFmtId="0" fontId="9" fillId="0" borderId="64" xfId="0" applyFont="1" applyFill="1" applyBorder="1" applyAlignment="1" applyProtection="1">
      <alignment horizontal="center" vertical="center"/>
      <protection/>
    </xf>
    <xf numFmtId="0" fontId="41" fillId="0" borderId="52" xfId="0" applyFont="1" applyFill="1" applyBorder="1" applyAlignment="1">
      <alignment horizontal="center"/>
    </xf>
    <xf numFmtId="49" fontId="11" fillId="0" borderId="65" xfId="0" applyNumberFormat="1" applyFont="1" applyFill="1" applyBorder="1" applyAlignment="1" applyProtection="1">
      <alignment vertical="center"/>
      <protection/>
    </xf>
    <xf numFmtId="3" fontId="11" fillId="0" borderId="33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/>
    </xf>
    <xf numFmtId="0" fontId="41" fillId="0" borderId="47" xfId="0" applyFont="1" applyFill="1" applyBorder="1" applyAlignment="1">
      <alignment horizontal="center"/>
    </xf>
    <xf numFmtId="49" fontId="21" fillId="0" borderId="35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2" xfId="0" applyNumberFormat="1" applyFont="1" applyFill="1" applyBorder="1" applyAlignment="1" applyProtection="1">
      <alignment vertical="center"/>
      <protection locked="0"/>
    </xf>
    <xf numFmtId="3" fontId="21" fillId="0" borderId="23" xfId="0" applyNumberFormat="1" applyFont="1" applyFill="1" applyBorder="1" applyAlignment="1" applyProtection="1">
      <alignment vertical="center"/>
      <protection/>
    </xf>
    <xf numFmtId="49" fontId="11" fillId="0" borderId="35" xfId="0" applyNumberFormat="1" applyFont="1" applyFill="1" applyBorder="1" applyAlignment="1" applyProtection="1">
      <alignment vertical="center"/>
      <protection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/>
    </xf>
    <xf numFmtId="49" fontId="11" fillId="0" borderId="56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49" fontId="9" fillId="0" borderId="50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3" fontId="11" fillId="0" borderId="17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66" xfId="0" applyFont="1" applyFill="1" applyBorder="1" applyAlignment="1" applyProtection="1">
      <alignment vertical="center"/>
      <protection/>
    </xf>
    <xf numFmtId="49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vertical="center"/>
      <protection locked="0"/>
    </xf>
    <xf numFmtId="0" fontId="41" fillId="0" borderId="4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Font="1" applyFill="1" applyAlignment="1">
      <alignment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right" vertical="center" indent="1"/>
      <protection/>
    </xf>
    <xf numFmtId="0" fontId="9" fillId="0" borderId="50" xfId="60" applyFont="1" applyFill="1" applyBorder="1" applyAlignment="1" applyProtection="1">
      <alignment horizontal="center" vertical="center" wrapText="1"/>
      <protection/>
    </xf>
    <xf numFmtId="0" fontId="10" fillId="0" borderId="13" xfId="60" applyFont="1" applyFill="1" applyBorder="1" applyAlignment="1" applyProtection="1">
      <alignment horizontal="center" vertical="center" wrapText="1"/>
      <protection/>
    </xf>
    <xf numFmtId="0" fontId="11" fillId="0" borderId="0" xfId="60" applyFont="1" applyFill="1">
      <alignment/>
      <protection/>
    </xf>
    <xf numFmtId="164" fontId="10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ont="1" applyFill="1">
      <alignment/>
      <protection/>
    </xf>
    <xf numFmtId="164" fontId="11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34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9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9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Border="1" applyAlignment="1" applyProtection="1">
      <alignment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4" fillId="0" borderId="0" xfId="60" applyFont="1" applyFill="1">
      <alignment/>
      <protection/>
    </xf>
    <xf numFmtId="0" fontId="12" fillId="0" borderId="18" xfId="0" applyFont="1" applyBorder="1" applyAlignment="1" applyProtection="1">
      <alignment vertical="center" wrapText="1"/>
      <protection/>
    </xf>
    <xf numFmtId="0" fontId="12" fillId="0" borderId="21" xfId="0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vertical="center" wrapText="1"/>
      <protection/>
    </xf>
    <xf numFmtId="164" fontId="10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4" fillId="0" borderId="68" xfId="60" applyFont="1" applyFill="1" applyBorder="1" applyAlignment="1" applyProtection="1">
      <alignment horizontal="center" vertical="center" wrapText="1"/>
      <protection/>
    </xf>
    <xf numFmtId="0" fontId="14" fillId="0" borderId="68" xfId="60" applyFont="1" applyFill="1" applyBorder="1" applyAlignment="1" applyProtection="1">
      <alignment vertical="center" wrapText="1"/>
      <protection/>
    </xf>
    <xf numFmtId="164" fontId="14" fillId="0" borderId="68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68" xfId="60" applyFont="1" applyFill="1" applyBorder="1" applyAlignment="1" applyProtection="1">
      <alignment horizontal="right" vertical="center" wrapText="1" indent="1"/>
      <protection locked="0"/>
    </xf>
    <xf numFmtId="164" fontId="11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 applyProtection="1">
      <alignment horizontal="right" vertical="center"/>
      <protection/>
    </xf>
    <xf numFmtId="164" fontId="10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0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0" fillId="0" borderId="69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0" applyNumberFormat="1" applyFont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/>
    </xf>
    <xf numFmtId="164" fontId="15" fillId="0" borderId="62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1" fillId="0" borderId="2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 applyProtection="1">
      <alignment horizontal="left" vertical="center" wrapText="1" indent="1"/>
      <protection/>
    </xf>
    <xf numFmtId="0" fontId="12" fillId="0" borderId="35" xfId="0" applyFont="1" applyFill="1" applyBorder="1" applyAlignment="1" applyProtection="1">
      <alignment horizontal="left" vertical="center" wrapText="1" indent="8"/>
      <protection/>
    </xf>
    <xf numFmtId="0" fontId="11" fillId="0" borderId="19" xfId="0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 applyProtection="1">
      <alignment vertical="center" wrapText="1"/>
      <protection/>
    </xf>
    <xf numFmtId="164" fontId="10" fillId="0" borderId="31" xfId="0" applyNumberFormat="1" applyFont="1" applyFill="1" applyBorder="1" applyAlignment="1" applyProtection="1">
      <alignment vertical="center" wrapText="1"/>
      <protection/>
    </xf>
    <xf numFmtId="164" fontId="10" fillId="0" borderId="43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Fill="1" applyAlignment="1">
      <alignment horizontal="right" vertical="center" wrapText="1"/>
    </xf>
    <xf numFmtId="0" fontId="3" fillId="0" borderId="0" xfId="61" applyFont="1" applyFill="1" applyProtection="1">
      <alignment/>
      <protection locked="0"/>
    </xf>
    <xf numFmtId="0" fontId="3" fillId="0" borderId="0" xfId="61" applyFont="1" applyFill="1" applyProtection="1">
      <alignment/>
      <protection/>
    </xf>
    <xf numFmtId="0" fontId="9" fillId="0" borderId="14" xfId="61" applyFont="1" applyFill="1" applyBorder="1" applyAlignment="1" applyProtection="1">
      <alignment horizontal="center" vertical="center" wrapText="1"/>
      <protection/>
    </xf>
    <xf numFmtId="0" fontId="9" fillId="0" borderId="15" xfId="61" applyFont="1" applyFill="1" applyBorder="1" applyAlignment="1" applyProtection="1">
      <alignment horizontal="center" vertical="center"/>
      <protection/>
    </xf>
    <xf numFmtId="0" fontId="9" fillId="0" borderId="16" xfId="61" applyFont="1" applyFill="1" applyBorder="1" applyAlignment="1" applyProtection="1">
      <alignment horizontal="center" vertical="center"/>
      <protection/>
    </xf>
    <xf numFmtId="0" fontId="9" fillId="0" borderId="76" xfId="61" applyFont="1" applyFill="1" applyBorder="1" applyAlignment="1" applyProtection="1">
      <alignment horizontal="center" vertical="center" wrapText="1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9" fillId="0" borderId="17" xfId="61" applyFont="1" applyFill="1" applyBorder="1" applyAlignment="1" applyProtection="1">
      <alignment horizontal="center" vertical="center"/>
      <protection/>
    </xf>
    <xf numFmtId="0" fontId="11" fillId="0" borderId="11" xfId="61" applyFont="1" applyFill="1" applyBorder="1" applyAlignment="1" applyProtection="1">
      <alignment horizontal="left" vertical="center" indent="1"/>
      <protection/>
    </xf>
    <xf numFmtId="0" fontId="3" fillId="0" borderId="0" xfId="61" applyFont="1" applyFill="1" applyAlignment="1" applyProtection="1">
      <alignment vertical="center"/>
      <protection/>
    </xf>
    <xf numFmtId="0" fontId="11" fillId="0" borderId="36" xfId="61" applyFont="1" applyFill="1" applyBorder="1" applyAlignment="1" applyProtection="1">
      <alignment horizontal="left" vertical="center" indent="1"/>
      <protection/>
    </xf>
    <xf numFmtId="0" fontId="11" fillId="0" borderId="39" xfId="61" applyFont="1" applyFill="1" applyBorder="1" applyAlignment="1" applyProtection="1">
      <alignment horizontal="left" vertical="center" wrapText="1" indent="1"/>
      <protection/>
    </xf>
    <xf numFmtId="164" fontId="11" fillId="0" borderId="39" xfId="61" applyNumberFormat="1" applyFont="1" applyFill="1" applyBorder="1" applyAlignment="1" applyProtection="1">
      <alignment vertical="center"/>
      <protection locked="0"/>
    </xf>
    <xf numFmtId="164" fontId="11" fillId="0" borderId="41" xfId="61" applyNumberFormat="1" applyFont="1" applyFill="1" applyBorder="1" applyAlignment="1" applyProtection="1">
      <alignment vertical="center"/>
      <protection/>
    </xf>
    <xf numFmtId="0" fontId="11" fillId="0" borderId="21" xfId="61" applyFont="1" applyFill="1" applyBorder="1" applyAlignment="1" applyProtection="1">
      <alignment horizontal="left" vertical="center" indent="1"/>
      <protection/>
    </xf>
    <xf numFmtId="0" fontId="11" fillId="0" borderId="22" xfId="61" applyFont="1" applyFill="1" applyBorder="1" applyAlignment="1" applyProtection="1">
      <alignment horizontal="left" vertical="center" wrapText="1" indent="1"/>
      <protection/>
    </xf>
    <xf numFmtId="164" fontId="11" fillId="0" borderId="22" xfId="61" applyNumberFormat="1" applyFont="1" applyFill="1" applyBorder="1" applyAlignment="1" applyProtection="1">
      <alignment vertical="center"/>
      <protection locked="0"/>
    </xf>
    <xf numFmtId="164" fontId="11" fillId="0" borderId="23" xfId="61" applyNumberFormat="1" applyFont="1" applyFill="1" applyBorder="1" applyAlignment="1" applyProtection="1">
      <alignment vertical="center"/>
      <protection/>
    </xf>
    <xf numFmtId="0" fontId="3" fillId="0" borderId="0" xfId="61" applyFont="1" applyFill="1" applyAlignment="1" applyProtection="1">
      <alignment vertical="center"/>
      <protection locked="0"/>
    </xf>
    <xf numFmtId="0" fontId="11" fillId="0" borderId="19" xfId="61" applyFont="1" applyFill="1" applyBorder="1" applyAlignment="1" applyProtection="1">
      <alignment horizontal="left" vertical="center" wrapText="1" indent="1"/>
      <protection/>
    </xf>
    <xf numFmtId="164" fontId="11" fillId="0" borderId="19" xfId="61" applyNumberFormat="1" applyFont="1" applyFill="1" applyBorder="1" applyAlignment="1" applyProtection="1">
      <alignment vertical="center"/>
      <protection locked="0"/>
    </xf>
    <xf numFmtId="164" fontId="11" fillId="0" borderId="20" xfId="61" applyNumberFormat="1" applyFont="1" applyFill="1" applyBorder="1" applyAlignment="1" applyProtection="1">
      <alignment vertical="center"/>
      <protection/>
    </xf>
    <xf numFmtId="0" fontId="11" fillId="0" borderId="22" xfId="61" applyFont="1" applyFill="1" applyBorder="1" applyAlignment="1" applyProtection="1">
      <alignment horizontal="left" vertical="center" indent="1"/>
      <protection/>
    </xf>
    <xf numFmtId="164" fontId="11" fillId="0" borderId="12" xfId="61" applyNumberFormat="1" applyFont="1" applyFill="1" applyBorder="1" applyProtection="1">
      <alignment/>
      <protection/>
    </xf>
    <xf numFmtId="0" fontId="9" fillId="0" borderId="12" xfId="61" applyFont="1" applyFill="1" applyBorder="1" applyAlignment="1" applyProtection="1">
      <alignment horizontal="left" vertical="center" indent="1"/>
      <protection/>
    </xf>
    <xf numFmtId="164" fontId="10" fillId="0" borderId="12" xfId="61" applyNumberFormat="1" applyFont="1" applyFill="1" applyBorder="1" applyAlignment="1" applyProtection="1">
      <alignment vertical="center"/>
      <protection/>
    </xf>
    <xf numFmtId="164" fontId="10" fillId="0" borderId="17" xfId="61" applyNumberFormat="1" applyFont="1" applyFill="1" applyBorder="1" applyAlignment="1" applyProtection="1">
      <alignment vertical="center"/>
      <protection/>
    </xf>
    <xf numFmtId="0" fontId="11" fillId="0" borderId="18" xfId="61" applyFont="1" applyFill="1" applyBorder="1" applyAlignment="1" applyProtection="1">
      <alignment horizontal="left" vertical="center" indent="1"/>
      <protection/>
    </xf>
    <xf numFmtId="0" fontId="11" fillId="0" borderId="19" xfId="61" applyFont="1" applyFill="1" applyBorder="1" applyAlignment="1" applyProtection="1">
      <alignment horizontal="left" vertical="center" indent="1"/>
      <protection/>
    </xf>
    <xf numFmtId="0" fontId="10" fillId="0" borderId="11" xfId="61" applyFont="1" applyFill="1" applyBorder="1" applyAlignment="1" applyProtection="1">
      <alignment horizontal="left" vertical="center" indent="1"/>
      <protection/>
    </xf>
    <xf numFmtId="0" fontId="9" fillId="0" borderId="12" xfId="61" applyFont="1" applyFill="1" applyBorder="1" applyAlignment="1" applyProtection="1">
      <alignment horizontal="left" indent="1"/>
      <protection/>
    </xf>
    <xf numFmtId="164" fontId="10" fillId="0" borderId="12" xfId="61" applyNumberFormat="1" applyFont="1" applyFill="1" applyBorder="1" applyProtection="1">
      <alignment/>
      <protection/>
    </xf>
    <xf numFmtId="0" fontId="2" fillId="0" borderId="0" xfId="61" applyFont="1" applyFill="1" applyProtection="1">
      <alignment/>
      <protection/>
    </xf>
    <xf numFmtId="0" fontId="24" fillId="0" borderId="0" xfId="61" applyFont="1" applyFill="1" applyProtection="1">
      <alignment/>
      <protection locked="0"/>
    </xf>
    <xf numFmtId="0" fontId="14" fillId="0" borderId="0" xfId="61" applyFont="1" applyFill="1" applyProtection="1">
      <alignment/>
      <protection locked="0"/>
    </xf>
    <xf numFmtId="0" fontId="9" fillId="0" borderId="62" xfId="60" applyFont="1" applyFill="1" applyBorder="1" applyAlignment="1" applyProtection="1">
      <alignment horizontal="center" vertical="center" wrapText="1"/>
      <protection/>
    </xf>
    <xf numFmtId="0" fontId="9" fillId="0" borderId="51" xfId="60" applyFont="1" applyFill="1" applyBorder="1" applyAlignment="1" applyProtection="1">
      <alignment horizontal="center" vertical="center" wrapText="1"/>
      <protection/>
    </xf>
    <xf numFmtId="0" fontId="9" fillId="0" borderId="13" xfId="60" applyFont="1" applyFill="1" applyBorder="1" applyAlignment="1" applyProtection="1">
      <alignment horizontal="center" vertical="center" wrapText="1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7" fillId="0" borderId="10" xfId="60" applyNumberFormat="1" applyFont="1" applyFill="1" applyBorder="1" applyAlignment="1" applyProtection="1">
      <alignment horizontal="left" vertical="center"/>
      <protection/>
    </xf>
    <xf numFmtId="164" fontId="7" fillId="0" borderId="10" xfId="60" applyNumberFormat="1" applyFont="1" applyFill="1" applyBorder="1" applyAlignment="1" applyProtection="1">
      <alignment horizontal="left"/>
      <protection/>
    </xf>
    <xf numFmtId="0" fontId="14" fillId="0" borderId="0" xfId="60" applyFont="1" applyFill="1" applyAlignment="1" applyProtection="1">
      <alignment horizontal="center"/>
      <protection/>
    </xf>
    <xf numFmtId="164" fontId="14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 wrapText="1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0" borderId="69" xfId="0" applyFont="1" applyFill="1" applyBorder="1" applyAlignment="1" applyProtection="1">
      <alignment horizontal="center" vertical="center" wrapText="1"/>
      <protection/>
    </xf>
    <xf numFmtId="0" fontId="10" fillId="0" borderId="77" xfId="0" applyFont="1" applyFill="1" applyBorder="1" applyAlignment="1" applyProtection="1">
      <alignment horizontal="center" vertical="center" wrapText="1"/>
      <protection/>
    </xf>
    <xf numFmtId="0" fontId="10" fillId="0" borderId="63" xfId="0" applyFont="1" applyFill="1" applyBorder="1" applyAlignment="1" applyProtection="1">
      <alignment horizontal="center" vertical="center" wrapText="1"/>
      <protection/>
    </xf>
    <xf numFmtId="0" fontId="10" fillId="0" borderId="78" xfId="0" applyFont="1" applyFill="1" applyBorder="1" applyAlignment="1" applyProtection="1">
      <alignment horizontal="center" vertical="center" wrapText="1"/>
      <protection/>
    </xf>
    <xf numFmtId="0" fontId="9" fillId="0" borderId="63" xfId="0" applyFont="1" applyFill="1" applyBorder="1" applyAlignment="1" applyProtection="1">
      <alignment horizontal="center" vertical="center" wrapText="1"/>
      <protection/>
    </xf>
    <xf numFmtId="0" fontId="9" fillId="0" borderId="78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textRotation="180" wrapText="1"/>
      <protection/>
    </xf>
    <xf numFmtId="164" fontId="9" fillId="0" borderId="63" xfId="0" applyNumberFormat="1" applyFont="1" applyFill="1" applyBorder="1" applyAlignment="1" applyProtection="1">
      <alignment horizontal="center" vertical="center" wrapText="1"/>
      <protection/>
    </xf>
    <xf numFmtId="164" fontId="9" fillId="0" borderId="78" xfId="0" applyNumberFormat="1" applyFont="1" applyFill="1" applyBorder="1" applyAlignment="1" applyProtection="1">
      <alignment horizontal="center" vertical="center" wrapText="1"/>
      <protection/>
    </xf>
    <xf numFmtId="164" fontId="22" fillId="0" borderId="68" xfId="0" applyNumberFormat="1" applyFont="1" applyFill="1" applyBorder="1" applyAlignment="1" applyProtection="1">
      <alignment horizontal="center" vertical="center" wrapText="1"/>
      <protection/>
    </xf>
    <xf numFmtId="164" fontId="9" fillId="0" borderId="46" xfId="0" applyNumberFormat="1" applyFont="1" applyFill="1" applyBorder="1" applyAlignment="1" applyProtection="1">
      <alignment horizontal="center" vertical="center" wrapText="1"/>
      <protection/>
    </xf>
    <xf numFmtId="164" fontId="9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right" indent="1"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41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 horizontal="right" inden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 wrapText="1"/>
    </xf>
    <xf numFmtId="0" fontId="11" fillId="0" borderId="68" xfId="0" applyFont="1" applyFill="1" applyBorder="1" applyAlignment="1">
      <alignment horizontal="justify" vertical="center" wrapText="1"/>
    </xf>
    <xf numFmtId="0" fontId="14" fillId="0" borderId="0" xfId="61" applyFont="1" applyFill="1" applyAlignment="1" applyProtection="1">
      <alignment horizontal="center" wrapText="1"/>
      <protection/>
    </xf>
    <xf numFmtId="0" fontId="14" fillId="0" borderId="0" xfId="61" applyFont="1" applyFill="1" applyAlignment="1" applyProtection="1">
      <alignment horizontal="center"/>
      <protection/>
    </xf>
    <xf numFmtId="0" fontId="7" fillId="0" borderId="60" xfId="61" applyFont="1" applyFill="1" applyBorder="1" applyAlignment="1" applyProtection="1">
      <alignment horizontal="left" vertical="center" indent="1"/>
      <protection/>
    </xf>
    <xf numFmtId="0" fontId="7" fillId="0" borderId="10" xfId="61" applyFont="1" applyFill="1" applyBorder="1" applyAlignment="1" applyProtection="1">
      <alignment horizontal="left" vertical="center" indent="1"/>
      <protection/>
    </xf>
    <xf numFmtId="0" fontId="7" fillId="0" borderId="77" xfId="61" applyFont="1" applyFill="1" applyBorder="1" applyAlignment="1" applyProtection="1">
      <alignment horizontal="left" vertical="center" indent="1"/>
      <protection/>
    </xf>
    <xf numFmtId="0" fontId="7" fillId="0" borderId="62" xfId="61" applyFont="1" applyFill="1" applyBorder="1" applyAlignment="1" applyProtection="1">
      <alignment horizontal="left" vertical="center" indent="1"/>
      <protection/>
    </xf>
    <xf numFmtId="0" fontId="7" fillId="0" borderId="51" xfId="61" applyFont="1" applyFill="1" applyBorder="1" applyAlignment="1" applyProtection="1">
      <alignment horizontal="left" vertical="center" indent="1"/>
      <protection/>
    </xf>
    <xf numFmtId="0" fontId="7" fillId="0" borderId="13" xfId="61" applyFont="1" applyFill="1" applyBorder="1" applyAlignment="1" applyProtection="1">
      <alignment horizontal="left" vertical="center" inden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view="pageLayout" workbookViewId="0" topLeftCell="A1">
      <selection activeCell="I1" sqref="I1"/>
    </sheetView>
  </sheetViews>
  <sheetFormatPr defaultColWidth="9.140625" defaultRowHeight="15"/>
  <cols>
    <col min="1" max="1" width="5.8515625" style="1" customWidth="1"/>
    <col min="2" max="2" width="47.57421875" style="1" customWidth="1"/>
    <col min="3" max="3" width="9.421875" style="1" customWidth="1"/>
    <col min="4" max="4" width="10.8515625" style="1" customWidth="1"/>
    <col min="5" max="5" width="10.421875" style="1" customWidth="1"/>
    <col min="6" max="6" width="11.7109375" style="1" customWidth="1"/>
    <col min="7" max="7" width="9.421875" style="1" customWidth="1"/>
    <col min="8" max="8" width="10.8515625" style="1" customWidth="1"/>
    <col min="9" max="9" width="10.421875" style="1" customWidth="1"/>
    <col min="10" max="10" width="11.7109375" style="1" customWidth="1"/>
    <col min="11" max="16384" width="9.140625" style="1" customWidth="1"/>
  </cols>
  <sheetData>
    <row r="1" spans="1:6" ht="15">
      <c r="A1" s="462" t="s">
        <v>0</v>
      </c>
      <c r="B1" s="462"/>
      <c r="C1" s="462"/>
      <c r="D1" s="462"/>
      <c r="E1" s="462"/>
      <c r="F1" s="462"/>
    </row>
    <row r="2" spans="1:10" ht="15.75" thickBot="1">
      <c r="A2" s="463" t="s">
        <v>243</v>
      </c>
      <c r="B2" s="463"/>
      <c r="C2" s="3"/>
      <c r="D2" s="3"/>
      <c r="E2" s="3"/>
      <c r="F2" s="3"/>
      <c r="G2" s="3"/>
      <c r="H2" s="3"/>
      <c r="I2" s="3"/>
      <c r="J2" s="3" t="s">
        <v>249</v>
      </c>
    </row>
    <row r="3" spans="1:10" ht="24.75" thickBot="1">
      <c r="A3" s="4" t="s">
        <v>2</v>
      </c>
      <c r="B3" s="5" t="s">
        <v>3</v>
      </c>
      <c r="C3" s="459" t="s">
        <v>426</v>
      </c>
      <c r="D3" s="460"/>
      <c r="E3" s="460"/>
      <c r="F3" s="461"/>
      <c r="G3" s="459" t="s">
        <v>437</v>
      </c>
      <c r="H3" s="460"/>
      <c r="I3" s="460"/>
      <c r="J3" s="461"/>
    </row>
    <row r="4" spans="1:10" ht="15.75" thickBot="1">
      <c r="A4" s="7" t="s">
        <v>240</v>
      </c>
      <c r="B4" s="8" t="s">
        <v>241</v>
      </c>
      <c r="C4" s="9" t="s">
        <v>242</v>
      </c>
      <c r="D4" s="9" t="s">
        <v>250</v>
      </c>
      <c r="E4" s="9" t="s">
        <v>251</v>
      </c>
      <c r="F4" s="9" t="s">
        <v>252</v>
      </c>
      <c r="G4" s="9" t="s">
        <v>375</v>
      </c>
      <c r="H4" s="9" t="s">
        <v>417</v>
      </c>
      <c r="I4" s="9" t="s">
        <v>418</v>
      </c>
      <c r="J4" s="9" t="s">
        <v>419</v>
      </c>
    </row>
    <row r="5" spans="1:10" ht="42.75" thickBot="1">
      <c r="A5" s="7"/>
      <c r="B5" s="8"/>
      <c r="C5" s="9" t="s">
        <v>245</v>
      </c>
      <c r="D5" s="9" t="s">
        <v>246</v>
      </c>
      <c r="E5" s="9" t="s">
        <v>247</v>
      </c>
      <c r="F5" s="9" t="s">
        <v>248</v>
      </c>
      <c r="G5" s="9" t="s">
        <v>245</v>
      </c>
      <c r="H5" s="9" t="s">
        <v>246</v>
      </c>
      <c r="I5" s="9" t="s">
        <v>247</v>
      </c>
      <c r="J5" s="9" t="s">
        <v>248</v>
      </c>
    </row>
    <row r="6" spans="1:10" ht="15.75" thickBot="1">
      <c r="A6" s="10" t="s">
        <v>4</v>
      </c>
      <c r="B6" s="11" t="s">
        <v>5</v>
      </c>
      <c r="C6" s="12">
        <f>C7+C8+C9+C10+C11</f>
        <v>63160</v>
      </c>
      <c r="D6" s="12">
        <f>D7+D8+D9+D10+D11</f>
        <v>63160</v>
      </c>
      <c r="E6" s="12">
        <v>0</v>
      </c>
      <c r="F6" s="12">
        <v>0</v>
      </c>
      <c r="G6" s="12">
        <f>G7+G8+G9+G10+G11</f>
        <v>53606</v>
      </c>
      <c r="H6" s="12">
        <f>H7+H8+H9+H10+H11</f>
        <v>53606</v>
      </c>
      <c r="I6" s="12">
        <v>0</v>
      </c>
      <c r="J6" s="12">
        <v>0</v>
      </c>
    </row>
    <row r="7" spans="1:10" ht="16.5" customHeight="1">
      <c r="A7" s="13" t="s">
        <v>6</v>
      </c>
      <c r="B7" s="14" t="s">
        <v>7</v>
      </c>
      <c r="C7" s="15">
        <f>D7+E7+F7</f>
        <v>17622</v>
      </c>
      <c r="D7" s="15">
        <v>17622</v>
      </c>
      <c r="E7" s="15"/>
      <c r="F7" s="15"/>
      <c r="G7" s="15">
        <f>H7+I7+J7</f>
        <v>13817</v>
      </c>
      <c r="H7" s="15">
        <v>13817</v>
      </c>
      <c r="I7" s="15"/>
      <c r="J7" s="15"/>
    </row>
    <row r="8" spans="1:10" ht="18" customHeight="1">
      <c r="A8" s="16" t="s">
        <v>8</v>
      </c>
      <c r="B8" s="17" t="s">
        <v>9</v>
      </c>
      <c r="C8" s="15">
        <f aca="true" t="shared" si="0" ref="C8:C59">D8+E8+F8</f>
        <v>14431</v>
      </c>
      <c r="D8" s="15">
        <v>14431</v>
      </c>
      <c r="E8" s="15"/>
      <c r="F8" s="15"/>
      <c r="G8" s="15">
        <f>H8+I8+J8</f>
        <v>14101</v>
      </c>
      <c r="H8" s="15">
        <v>14101</v>
      </c>
      <c r="I8" s="15"/>
      <c r="J8" s="15"/>
    </row>
    <row r="9" spans="1:10" ht="18" customHeight="1">
      <c r="A9" s="16" t="s">
        <v>10</v>
      </c>
      <c r="B9" s="17" t="s">
        <v>11</v>
      </c>
      <c r="C9" s="15">
        <f t="shared" si="0"/>
        <v>15035</v>
      </c>
      <c r="D9" s="15">
        <v>15035</v>
      </c>
      <c r="E9" s="15"/>
      <c r="F9" s="15"/>
      <c r="G9" s="15">
        <f>H9+I9+J9</f>
        <v>17192</v>
      </c>
      <c r="H9" s="15">
        <v>17192</v>
      </c>
      <c r="I9" s="15"/>
      <c r="J9" s="15"/>
    </row>
    <row r="10" spans="1:10" ht="15">
      <c r="A10" s="16" t="s">
        <v>12</v>
      </c>
      <c r="B10" s="17" t="s">
        <v>13</v>
      </c>
      <c r="C10" s="15">
        <f t="shared" si="0"/>
        <v>1200</v>
      </c>
      <c r="D10" s="15">
        <v>1200</v>
      </c>
      <c r="E10" s="15"/>
      <c r="F10" s="15"/>
      <c r="G10" s="15">
        <f>H10+I10+J10</f>
        <v>1200</v>
      </c>
      <c r="H10" s="15">
        <v>1200</v>
      </c>
      <c r="I10" s="15"/>
      <c r="J10" s="15"/>
    </row>
    <row r="11" spans="1:10" ht="24" thickBot="1">
      <c r="A11" s="16" t="s">
        <v>14</v>
      </c>
      <c r="B11" s="17" t="s">
        <v>425</v>
      </c>
      <c r="C11" s="15">
        <v>14872</v>
      </c>
      <c r="D11" s="15">
        <v>14872</v>
      </c>
      <c r="E11" s="15"/>
      <c r="F11" s="15"/>
      <c r="G11" s="15">
        <v>7296</v>
      </c>
      <c r="H11" s="15">
        <v>7296</v>
      </c>
      <c r="I11" s="15"/>
      <c r="J11" s="15"/>
    </row>
    <row r="12" spans="1:10" ht="21.75" thickBot="1">
      <c r="A12" s="10" t="s">
        <v>17</v>
      </c>
      <c r="B12" s="18" t="s">
        <v>18</v>
      </c>
      <c r="C12" s="12">
        <v>21671</v>
      </c>
      <c r="D12" s="12">
        <v>0</v>
      </c>
      <c r="E12" s="12">
        <v>21671</v>
      </c>
      <c r="F12" s="12">
        <v>0</v>
      </c>
      <c r="G12" s="12">
        <f>G17</f>
        <v>75000</v>
      </c>
      <c r="H12" s="12">
        <v>0</v>
      </c>
      <c r="I12" s="12">
        <v>75000</v>
      </c>
      <c r="J12" s="12">
        <v>0</v>
      </c>
    </row>
    <row r="13" spans="1:10" ht="15">
      <c r="A13" s="13" t="s">
        <v>19</v>
      </c>
      <c r="B13" s="14" t="s">
        <v>20</v>
      </c>
      <c r="C13" s="15">
        <f t="shared" si="0"/>
        <v>0</v>
      </c>
      <c r="D13" s="15"/>
      <c r="E13" s="15"/>
      <c r="F13" s="15"/>
      <c r="G13" s="15">
        <f aca="true" t="shared" si="1" ref="G13:G18">H13+I13+J13</f>
        <v>0</v>
      </c>
      <c r="H13" s="15"/>
      <c r="I13" s="15"/>
      <c r="J13" s="15"/>
    </row>
    <row r="14" spans="1:10" ht="17.25" customHeight="1">
      <c r="A14" s="16" t="s">
        <v>21</v>
      </c>
      <c r="B14" s="17" t="s">
        <v>22</v>
      </c>
      <c r="C14" s="15">
        <f t="shared" si="0"/>
        <v>0</v>
      </c>
      <c r="D14" s="19"/>
      <c r="E14" s="19"/>
      <c r="F14" s="19"/>
      <c r="G14" s="15">
        <f t="shared" si="1"/>
        <v>0</v>
      </c>
      <c r="H14" s="19"/>
      <c r="I14" s="19"/>
      <c r="J14" s="19"/>
    </row>
    <row r="15" spans="1:10" ht="17.25" customHeight="1">
      <c r="A15" s="16" t="s">
        <v>23</v>
      </c>
      <c r="B15" s="17" t="s">
        <v>24</v>
      </c>
      <c r="C15" s="15">
        <f t="shared" si="0"/>
        <v>0</v>
      </c>
      <c r="D15" s="19"/>
      <c r="E15" s="19"/>
      <c r="F15" s="19"/>
      <c r="G15" s="15">
        <f t="shared" si="1"/>
        <v>0</v>
      </c>
      <c r="H15" s="19"/>
      <c r="I15" s="19"/>
      <c r="J15" s="19"/>
    </row>
    <row r="16" spans="1:10" ht="18" customHeight="1">
      <c r="A16" s="16" t="s">
        <v>25</v>
      </c>
      <c r="B16" s="17" t="s">
        <v>26</v>
      </c>
      <c r="C16" s="15">
        <f t="shared" si="0"/>
        <v>0</v>
      </c>
      <c r="D16" s="19"/>
      <c r="E16" s="19"/>
      <c r="F16" s="19"/>
      <c r="G16" s="15">
        <f t="shared" si="1"/>
        <v>0</v>
      </c>
      <c r="H16" s="19"/>
      <c r="I16" s="19"/>
      <c r="J16" s="19"/>
    </row>
    <row r="17" spans="1:10" ht="15">
      <c r="A17" s="16" t="s">
        <v>27</v>
      </c>
      <c r="B17" s="17" t="s">
        <v>28</v>
      </c>
      <c r="C17" s="15">
        <f t="shared" si="0"/>
        <v>21671</v>
      </c>
      <c r="D17" s="19"/>
      <c r="E17" s="19">
        <v>21671</v>
      </c>
      <c r="F17" s="19"/>
      <c r="G17" s="15">
        <v>75000</v>
      </c>
      <c r="H17" s="19"/>
      <c r="I17" s="19">
        <v>75000</v>
      </c>
      <c r="J17" s="19"/>
    </row>
    <row r="18" spans="1:10" ht="15.75" thickBot="1">
      <c r="A18" s="20" t="s">
        <v>29</v>
      </c>
      <c r="B18" s="21" t="s">
        <v>30</v>
      </c>
      <c r="C18" s="15">
        <f t="shared" si="0"/>
        <v>21671</v>
      </c>
      <c r="D18" s="22"/>
      <c r="E18" s="22">
        <v>21671</v>
      </c>
      <c r="F18" s="22"/>
      <c r="G18" s="15">
        <f t="shared" si="1"/>
        <v>21671</v>
      </c>
      <c r="H18" s="22"/>
      <c r="I18" s="22">
        <v>21671</v>
      </c>
      <c r="J18" s="22"/>
    </row>
    <row r="19" spans="1:10" ht="21.75" thickBot="1">
      <c r="A19" s="10" t="s">
        <v>31</v>
      </c>
      <c r="B19" s="11" t="s">
        <v>32</v>
      </c>
      <c r="C19" s="12">
        <f>C20+C21+C22+C23+C24</f>
        <v>52096</v>
      </c>
      <c r="D19" s="12">
        <v>0</v>
      </c>
      <c r="E19" s="12">
        <f>E24</f>
        <v>52096</v>
      </c>
      <c r="F19" s="12">
        <v>0</v>
      </c>
      <c r="G19" s="12">
        <f>G20+G21+G22+G23+G24</f>
        <v>100457</v>
      </c>
      <c r="H19" s="12">
        <v>0</v>
      </c>
      <c r="I19" s="12">
        <f>I20+I24</f>
        <v>100457</v>
      </c>
      <c r="J19" s="12">
        <v>0</v>
      </c>
    </row>
    <row r="20" spans="1:10" ht="15">
      <c r="A20" s="13" t="s">
        <v>33</v>
      </c>
      <c r="B20" s="14" t="s">
        <v>34</v>
      </c>
      <c r="C20" s="15">
        <f t="shared" si="0"/>
        <v>0</v>
      </c>
      <c r="D20" s="15"/>
      <c r="E20" s="15"/>
      <c r="F20" s="15"/>
      <c r="G20" s="15">
        <v>40357</v>
      </c>
      <c r="H20" s="15"/>
      <c r="I20" s="15">
        <v>40357</v>
      </c>
      <c r="J20" s="15"/>
    </row>
    <row r="21" spans="1:10" ht="16.5" customHeight="1">
      <c r="A21" s="16" t="s">
        <v>35</v>
      </c>
      <c r="B21" s="17" t="s">
        <v>36</v>
      </c>
      <c r="C21" s="15">
        <f t="shared" si="0"/>
        <v>0</v>
      </c>
      <c r="D21" s="19"/>
      <c r="E21" s="19"/>
      <c r="F21" s="19"/>
      <c r="G21" s="15">
        <f>H21+I21+J21</f>
        <v>0</v>
      </c>
      <c r="H21" s="19"/>
      <c r="I21" s="19"/>
      <c r="J21" s="19"/>
    </row>
    <row r="22" spans="1:10" ht="25.5" customHeight="1">
      <c r="A22" s="16" t="s">
        <v>37</v>
      </c>
      <c r="B22" s="17" t="s">
        <v>38</v>
      </c>
      <c r="C22" s="15">
        <f t="shared" si="0"/>
        <v>0</v>
      </c>
      <c r="D22" s="19"/>
      <c r="E22" s="19"/>
      <c r="F22" s="19"/>
      <c r="G22" s="15">
        <f>H22+I22+J22</f>
        <v>0</v>
      </c>
      <c r="H22" s="19"/>
      <c r="I22" s="19"/>
      <c r="J22" s="19"/>
    </row>
    <row r="23" spans="1:10" ht="15" customHeight="1">
      <c r="A23" s="16" t="s">
        <v>39</v>
      </c>
      <c r="B23" s="17" t="s">
        <v>40</v>
      </c>
      <c r="C23" s="15">
        <f t="shared" si="0"/>
        <v>0</v>
      </c>
      <c r="D23" s="19"/>
      <c r="E23" s="19"/>
      <c r="F23" s="19"/>
      <c r="G23" s="15">
        <f>H23+I23+J23</f>
        <v>0</v>
      </c>
      <c r="H23" s="19"/>
      <c r="I23" s="19"/>
      <c r="J23" s="19"/>
    </row>
    <row r="24" spans="1:10" ht="15">
      <c r="A24" s="16" t="s">
        <v>41</v>
      </c>
      <c r="B24" s="17" t="s">
        <v>42</v>
      </c>
      <c r="C24" s="15">
        <v>52096</v>
      </c>
      <c r="D24" s="19"/>
      <c r="E24" s="19">
        <v>52096</v>
      </c>
      <c r="F24" s="19"/>
      <c r="G24" s="15">
        <v>60100</v>
      </c>
      <c r="H24" s="19"/>
      <c r="I24" s="19">
        <v>60100</v>
      </c>
      <c r="J24" s="19"/>
    </row>
    <row r="25" spans="1:10" ht="15.75" thickBot="1">
      <c r="A25" s="20" t="s">
        <v>43</v>
      </c>
      <c r="B25" s="21" t="s">
        <v>44</v>
      </c>
      <c r="C25" s="15">
        <v>52096</v>
      </c>
      <c r="D25" s="22"/>
      <c r="E25" s="22">
        <v>52096</v>
      </c>
      <c r="F25" s="22"/>
      <c r="G25" s="15">
        <v>52096</v>
      </c>
      <c r="H25" s="22"/>
      <c r="I25" s="22">
        <v>52096</v>
      </c>
      <c r="J25" s="22"/>
    </row>
    <row r="26" spans="1:10" ht="15.75" thickBot="1">
      <c r="A26" s="10" t="s">
        <v>45</v>
      </c>
      <c r="B26" s="11" t="s">
        <v>46</v>
      </c>
      <c r="C26" s="23">
        <f>C27+C30+C31+C32</f>
        <v>7590</v>
      </c>
      <c r="D26" s="23">
        <f>D27+D30+D31+D32</f>
        <v>7590</v>
      </c>
      <c r="E26" s="23"/>
      <c r="F26" s="23"/>
      <c r="G26" s="12">
        <f>G27+G30+G31+G32</f>
        <v>14001</v>
      </c>
      <c r="H26" s="12">
        <f>H27+H30+H31+H32</f>
        <v>14001</v>
      </c>
      <c r="I26" s="12">
        <f>I27+I30+I31+I32</f>
        <v>0</v>
      </c>
      <c r="J26" s="23">
        <f>J27+J30+J31+J32</f>
        <v>0</v>
      </c>
    </row>
    <row r="27" spans="1:10" ht="15">
      <c r="A27" s="13" t="s">
        <v>47</v>
      </c>
      <c r="B27" s="14" t="s">
        <v>48</v>
      </c>
      <c r="C27" s="15">
        <f>D27+E27+F27</f>
        <v>6000</v>
      </c>
      <c r="D27" s="15">
        <f>D28+D29</f>
        <v>6000</v>
      </c>
      <c r="E27" s="15"/>
      <c r="F27" s="15"/>
      <c r="G27" s="15">
        <f aca="true" t="shared" si="2" ref="G27:G32">H27+I27+J27</f>
        <v>11100</v>
      </c>
      <c r="H27" s="15">
        <f>H28+H29</f>
        <v>11100</v>
      </c>
      <c r="I27" s="15">
        <f>J27+K27+L27</f>
        <v>0</v>
      </c>
      <c r="J27" s="15">
        <f>K27+L27+M27</f>
        <v>0</v>
      </c>
    </row>
    <row r="28" spans="1:10" ht="22.5">
      <c r="A28" s="16" t="s">
        <v>49</v>
      </c>
      <c r="B28" s="17" t="s">
        <v>50</v>
      </c>
      <c r="C28" s="15">
        <f t="shared" si="0"/>
        <v>2000</v>
      </c>
      <c r="D28" s="19">
        <v>2000</v>
      </c>
      <c r="E28" s="19"/>
      <c r="F28" s="19"/>
      <c r="G28" s="15">
        <f t="shared" si="2"/>
        <v>2600</v>
      </c>
      <c r="H28" s="19">
        <v>2600</v>
      </c>
      <c r="I28" s="19"/>
      <c r="J28" s="19"/>
    </row>
    <row r="29" spans="1:10" ht="22.5">
      <c r="A29" s="16" t="s">
        <v>51</v>
      </c>
      <c r="B29" s="17" t="s">
        <v>52</v>
      </c>
      <c r="C29" s="15">
        <f t="shared" si="0"/>
        <v>4000</v>
      </c>
      <c r="D29" s="19">
        <v>4000</v>
      </c>
      <c r="E29" s="19"/>
      <c r="F29" s="19"/>
      <c r="G29" s="15">
        <f t="shared" si="2"/>
        <v>8500</v>
      </c>
      <c r="H29" s="19">
        <v>8500</v>
      </c>
      <c r="I29" s="19"/>
      <c r="J29" s="19"/>
    </row>
    <row r="30" spans="1:10" ht="15">
      <c r="A30" s="16" t="s">
        <v>53</v>
      </c>
      <c r="B30" s="17" t="s">
        <v>54</v>
      </c>
      <c r="C30" s="15">
        <f t="shared" si="0"/>
        <v>940</v>
      </c>
      <c r="D30" s="19">
        <v>940</v>
      </c>
      <c r="E30" s="19"/>
      <c r="F30" s="19"/>
      <c r="G30" s="15">
        <f t="shared" si="2"/>
        <v>1500</v>
      </c>
      <c r="H30" s="19">
        <v>1500</v>
      </c>
      <c r="I30" s="19"/>
      <c r="J30" s="19"/>
    </row>
    <row r="31" spans="1:10" ht="15">
      <c r="A31" s="16" t="s">
        <v>55</v>
      </c>
      <c r="B31" s="17" t="s">
        <v>56</v>
      </c>
      <c r="C31" s="15">
        <f t="shared" si="0"/>
        <v>500</v>
      </c>
      <c r="D31" s="19">
        <v>500</v>
      </c>
      <c r="E31" s="19"/>
      <c r="F31" s="19"/>
      <c r="G31" s="15">
        <v>941</v>
      </c>
      <c r="H31" s="19">
        <v>941</v>
      </c>
      <c r="I31" s="19"/>
      <c r="J31" s="19"/>
    </row>
    <row r="32" spans="1:10" ht="15.75" thickBot="1">
      <c r="A32" s="20" t="s">
        <v>57</v>
      </c>
      <c r="B32" s="21" t="s">
        <v>58</v>
      </c>
      <c r="C32" s="15">
        <f t="shared" si="0"/>
        <v>150</v>
      </c>
      <c r="D32" s="22">
        <v>150</v>
      </c>
      <c r="E32" s="22"/>
      <c r="F32" s="22"/>
      <c r="G32" s="15">
        <f t="shared" si="2"/>
        <v>460</v>
      </c>
      <c r="H32" s="22">
        <v>460</v>
      </c>
      <c r="I32" s="22"/>
      <c r="J32" s="22"/>
    </row>
    <row r="33" spans="1:10" ht="15.75" thickBot="1">
      <c r="A33" s="10" t="s">
        <v>59</v>
      </c>
      <c r="B33" s="11" t="s">
        <v>60</v>
      </c>
      <c r="C33" s="12">
        <f aca="true" t="shared" si="3" ref="C33:J33">C34+C35+C36+C37+C38+C39+C40+C41+C42+C43</f>
        <v>15390</v>
      </c>
      <c r="D33" s="12">
        <f t="shared" si="3"/>
        <v>7799</v>
      </c>
      <c r="E33" s="12">
        <f t="shared" si="3"/>
        <v>7591</v>
      </c>
      <c r="F33" s="12">
        <f t="shared" si="3"/>
        <v>0</v>
      </c>
      <c r="G33" s="12">
        <f t="shared" si="3"/>
        <v>40713</v>
      </c>
      <c r="H33" s="12">
        <f t="shared" si="3"/>
        <v>20568</v>
      </c>
      <c r="I33" s="12">
        <f t="shared" si="3"/>
        <v>31645</v>
      </c>
      <c r="J33" s="12">
        <f t="shared" si="3"/>
        <v>0</v>
      </c>
    </row>
    <row r="34" spans="1:10" ht="15">
      <c r="A34" s="13" t="s">
        <v>61</v>
      </c>
      <c r="B34" s="14" t="s">
        <v>62</v>
      </c>
      <c r="C34" s="15">
        <f t="shared" si="0"/>
        <v>0</v>
      </c>
      <c r="D34" s="15"/>
      <c r="E34" s="15"/>
      <c r="F34" s="15"/>
      <c r="G34" s="15">
        <v>1700</v>
      </c>
      <c r="H34" s="15"/>
      <c r="I34" s="15">
        <v>1700</v>
      </c>
      <c r="J34" s="15"/>
    </row>
    <row r="35" spans="1:10" ht="15">
      <c r="A35" s="16" t="s">
        <v>63</v>
      </c>
      <c r="B35" s="17" t="s">
        <v>64</v>
      </c>
      <c r="C35" s="15">
        <f t="shared" si="0"/>
        <v>5977</v>
      </c>
      <c r="D35" s="19"/>
      <c r="E35" s="19">
        <v>5977</v>
      </c>
      <c r="F35" s="19"/>
      <c r="G35" s="15">
        <v>28331</v>
      </c>
      <c r="H35" s="19"/>
      <c r="I35" s="19">
        <v>28331</v>
      </c>
      <c r="J35" s="19"/>
    </row>
    <row r="36" spans="1:10" ht="15">
      <c r="A36" s="16" t="s">
        <v>65</v>
      </c>
      <c r="B36" s="17" t="s">
        <v>66</v>
      </c>
      <c r="C36" s="15">
        <f t="shared" si="0"/>
        <v>2000</v>
      </c>
      <c r="D36" s="19">
        <v>2000</v>
      </c>
      <c r="E36" s="19"/>
      <c r="F36" s="19"/>
      <c r="G36" s="15">
        <f aca="true" t="shared" si="4" ref="G36:G42">H36+I36+J36</f>
        <v>2500</v>
      </c>
      <c r="H36" s="19">
        <v>2500</v>
      </c>
      <c r="I36" s="19"/>
      <c r="J36" s="19"/>
    </row>
    <row r="37" spans="1:10" ht="15">
      <c r="A37" s="16" t="s">
        <v>67</v>
      </c>
      <c r="B37" s="17" t="s">
        <v>68</v>
      </c>
      <c r="C37" s="15">
        <f t="shared" si="0"/>
        <v>43</v>
      </c>
      <c r="D37" s="19">
        <v>43</v>
      </c>
      <c r="E37" s="19"/>
      <c r="F37" s="19"/>
      <c r="G37" s="15">
        <v>0</v>
      </c>
      <c r="H37" s="19">
        <v>12500</v>
      </c>
      <c r="I37" s="19"/>
      <c r="J37" s="19"/>
    </row>
    <row r="38" spans="1:10" ht="15">
      <c r="A38" s="16" t="s">
        <v>69</v>
      </c>
      <c r="B38" s="17" t="s">
        <v>70</v>
      </c>
      <c r="C38" s="15">
        <f t="shared" si="0"/>
        <v>3829</v>
      </c>
      <c r="D38" s="19">
        <v>3829</v>
      </c>
      <c r="E38" s="19"/>
      <c r="F38" s="19"/>
      <c r="G38" s="15">
        <v>4000</v>
      </c>
      <c r="H38" s="19">
        <v>3000</v>
      </c>
      <c r="I38" s="19"/>
      <c r="J38" s="19"/>
    </row>
    <row r="39" spans="1:10" ht="15">
      <c r="A39" s="16" t="s">
        <v>71</v>
      </c>
      <c r="B39" s="17" t="s">
        <v>72</v>
      </c>
      <c r="C39" s="15">
        <f t="shared" si="0"/>
        <v>3031</v>
      </c>
      <c r="D39" s="19">
        <v>1417</v>
      </c>
      <c r="E39" s="19">
        <v>1614</v>
      </c>
      <c r="F39" s="19"/>
      <c r="G39" s="15">
        <v>3912</v>
      </c>
      <c r="H39" s="19">
        <f>3912-I39</f>
        <v>2298</v>
      </c>
      <c r="I39" s="19">
        <v>1614</v>
      </c>
      <c r="J39" s="19"/>
    </row>
    <row r="40" spans="1:10" ht="15">
      <c r="A40" s="16" t="s">
        <v>73</v>
      </c>
      <c r="B40" s="17" t="s">
        <v>74</v>
      </c>
      <c r="C40" s="15">
        <f t="shared" si="0"/>
        <v>0</v>
      </c>
      <c r="D40" s="19"/>
      <c r="E40" s="19"/>
      <c r="F40" s="19"/>
      <c r="G40" s="15">
        <f t="shared" si="4"/>
        <v>0</v>
      </c>
      <c r="H40" s="19"/>
      <c r="I40" s="19"/>
      <c r="J40" s="19"/>
    </row>
    <row r="41" spans="1:10" ht="15">
      <c r="A41" s="16" t="s">
        <v>75</v>
      </c>
      <c r="B41" s="17" t="s">
        <v>76</v>
      </c>
      <c r="C41" s="15">
        <f t="shared" si="0"/>
        <v>60</v>
      </c>
      <c r="D41" s="19">
        <v>60</v>
      </c>
      <c r="E41" s="19"/>
      <c r="F41" s="19"/>
      <c r="G41" s="15">
        <f t="shared" si="4"/>
        <v>70</v>
      </c>
      <c r="H41" s="19">
        <v>70</v>
      </c>
      <c r="I41" s="19"/>
      <c r="J41" s="19"/>
    </row>
    <row r="42" spans="1:10" ht="15">
      <c r="A42" s="16" t="s">
        <v>77</v>
      </c>
      <c r="B42" s="17" t="s">
        <v>78</v>
      </c>
      <c r="C42" s="15">
        <f t="shared" si="0"/>
        <v>0</v>
      </c>
      <c r="D42" s="24"/>
      <c r="E42" s="24"/>
      <c r="F42" s="24"/>
      <c r="G42" s="15">
        <f t="shared" si="4"/>
        <v>0</v>
      </c>
      <c r="H42" s="19"/>
      <c r="I42" s="19"/>
      <c r="J42" s="24"/>
    </row>
    <row r="43" spans="1:10" ht="15">
      <c r="A43" s="16" t="s">
        <v>79</v>
      </c>
      <c r="B43" s="17" t="s">
        <v>80</v>
      </c>
      <c r="C43" s="15">
        <f t="shared" si="0"/>
        <v>450</v>
      </c>
      <c r="D43" s="24">
        <v>450</v>
      </c>
      <c r="E43" s="24"/>
      <c r="F43" s="24"/>
      <c r="G43" s="15">
        <v>200</v>
      </c>
      <c r="H43" s="19">
        <v>200</v>
      </c>
      <c r="I43" s="19"/>
      <c r="J43" s="24"/>
    </row>
    <row r="44" spans="1:10" ht="15.75" thickBot="1">
      <c r="A44" s="25" t="s">
        <v>81</v>
      </c>
      <c r="B44" s="26" t="s">
        <v>82</v>
      </c>
      <c r="C44" s="27">
        <f>C45+C46+C47+C48+C49</f>
        <v>0</v>
      </c>
      <c r="D44" s="27">
        <v>0</v>
      </c>
      <c r="E44" s="27">
        <v>0</v>
      </c>
      <c r="F44" s="27">
        <v>0</v>
      </c>
      <c r="G44" s="27">
        <f>G45+G46+G47+G48+G49</f>
        <v>1900</v>
      </c>
      <c r="H44" s="27">
        <v>0</v>
      </c>
      <c r="I44" s="27">
        <v>1900</v>
      </c>
      <c r="J44" s="27">
        <v>0</v>
      </c>
    </row>
    <row r="45" spans="1:10" ht="15">
      <c r="A45" s="13" t="s">
        <v>83</v>
      </c>
      <c r="B45" s="14" t="s">
        <v>84</v>
      </c>
      <c r="C45" s="15">
        <f t="shared" si="0"/>
        <v>0</v>
      </c>
      <c r="D45" s="28"/>
      <c r="E45" s="28"/>
      <c r="F45" s="28"/>
      <c r="G45" s="15">
        <f>H45+I45+J45</f>
        <v>0</v>
      </c>
      <c r="H45" s="15"/>
      <c r="I45" s="15"/>
      <c r="J45" s="28"/>
    </row>
    <row r="46" spans="1:10" ht="15">
      <c r="A46" s="16" t="s">
        <v>85</v>
      </c>
      <c r="B46" s="17" t="s">
        <v>86</v>
      </c>
      <c r="C46" s="15">
        <f t="shared" si="0"/>
        <v>0</v>
      </c>
      <c r="D46" s="24"/>
      <c r="E46" s="24"/>
      <c r="F46" s="24"/>
      <c r="G46" s="15">
        <v>1900</v>
      </c>
      <c r="H46" s="19"/>
      <c r="I46" s="19">
        <v>1900</v>
      </c>
      <c r="J46" s="24"/>
    </row>
    <row r="47" spans="1:10" ht="15">
      <c r="A47" s="16" t="s">
        <v>87</v>
      </c>
      <c r="B47" s="17" t="s">
        <v>88</v>
      </c>
      <c r="C47" s="15">
        <f t="shared" si="0"/>
        <v>0</v>
      </c>
      <c r="D47" s="24"/>
      <c r="E47" s="24"/>
      <c r="F47" s="24"/>
      <c r="G47" s="15">
        <f>H47+I47+J47</f>
        <v>0</v>
      </c>
      <c r="H47" s="19"/>
      <c r="I47" s="19"/>
      <c r="J47" s="24"/>
    </row>
    <row r="48" spans="1:10" ht="15">
      <c r="A48" s="16" t="s">
        <v>89</v>
      </c>
      <c r="B48" s="17" t="s">
        <v>90</v>
      </c>
      <c r="C48" s="15">
        <f t="shared" si="0"/>
        <v>0</v>
      </c>
      <c r="D48" s="24"/>
      <c r="E48" s="24"/>
      <c r="F48" s="24"/>
      <c r="G48" s="15">
        <f>H48+I48+J48</f>
        <v>0</v>
      </c>
      <c r="H48" s="19"/>
      <c r="I48" s="19"/>
      <c r="J48" s="24"/>
    </row>
    <row r="49" spans="1:10" ht="15.75" thickBot="1">
      <c r="A49" s="20" t="s">
        <v>91</v>
      </c>
      <c r="B49" s="21" t="s">
        <v>92</v>
      </c>
      <c r="C49" s="15">
        <f t="shared" si="0"/>
        <v>0</v>
      </c>
      <c r="D49" s="29"/>
      <c r="E49" s="29"/>
      <c r="F49" s="29"/>
      <c r="G49" s="15">
        <f>H49+I49+J49</f>
        <v>0</v>
      </c>
      <c r="H49" s="22"/>
      <c r="I49" s="22"/>
      <c r="J49" s="29"/>
    </row>
    <row r="50" spans="1:10" ht="15.75" thickBot="1">
      <c r="A50" s="10" t="s">
        <v>93</v>
      </c>
      <c r="B50" s="11" t="s">
        <v>94</v>
      </c>
      <c r="C50" s="12">
        <f aca="true" t="shared" si="5" ref="C50:J50">C51+C52+C53+C54</f>
        <v>13940</v>
      </c>
      <c r="D50" s="12">
        <f t="shared" si="5"/>
        <v>13940</v>
      </c>
      <c r="E50" s="12">
        <f t="shared" si="5"/>
        <v>0</v>
      </c>
      <c r="F50" s="12">
        <f t="shared" si="5"/>
        <v>0</v>
      </c>
      <c r="G50" s="12">
        <f t="shared" si="5"/>
        <v>11110</v>
      </c>
      <c r="H50" s="12">
        <f t="shared" si="5"/>
        <v>11110</v>
      </c>
      <c r="I50" s="12">
        <f t="shared" si="5"/>
        <v>0</v>
      </c>
      <c r="J50" s="12">
        <f t="shared" si="5"/>
        <v>0</v>
      </c>
    </row>
    <row r="51" spans="1:10" ht="23.25">
      <c r="A51" s="13" t="s">
        <v>95</v>
      </c>
      <c r="B51" s="14" t="s">
        <v>96</v>
      </c>
      <c r="C51" s="15">
        <f>D51+E51+F51</f>
        <v>0</v>
      </c>
      <c r="D51" s="15"/>
      <c r="E51" s="15"/>
      <c r="F51" s="15"/>
      <c r="G51" s="15">
        <f>H51+I51+J51</f>
        <v>0</v>
      </c>
      <c r="H51" s="15"/>
      <c r="I51" s="15"/>
      <c r="J51" s="15"/>
    </row>
    <row r="52" spans="1:10" ht="23.25">
      <c r="A52" s="16" t="s">
        <v>97</v>
      </c>
      <c r="B52" s="17" t="s">
        <v>98</v>
      </c>
      <c r="C52" s="15">
        <f t="shared" si="0"/>
        <v>0</v>
      </c>
      <c r="D52" s="19"/>
      <c r="E52" s="19"/>
      <c r="F52" s="19"/>
      <c r="G52" s="15">
        <v>110</v>
      </c>
      <c r="H52" s="19">
        <v>110</v>
      </c>
      <c r="I52" s="19"/>
      <c r="J52" s="19"/>
    </row>
    <row r="53" spans="1:10" ht="15">
      <c r="A53" s="16" t="s">
        <v>99</v>
      </c>
      <c r="B53" s="17" t="s">
        <v>100</v>
      </c>
      <c r="C53" s="15">
        <f t="shared" si="0"/>
        <v>13940</v>
      </c>
      <c r="D53" s="19">
        <v>13940</v>
      </c>
      <c r="E53" s="19"/>
      <c r="F53" s="19"/>
      <c r="G53" s="15">
        <v>11000</v>
      </c>
      <c r="H53" s="19">
        <v>11000</v>
      </c>
      <c r="I53" s="19"/>
      <c r="J53" s="19"/>
    </row>
    <row r="54" spans="1:10" ht="15.75" thickBot="1">
      <c r="A54" s="20" t="s">
        <v>101</v>
      </c>
      <c r="B54" s="21" t="s">
        <v>102</v>
      </c>
      <c r="C54" s="15">
        <f t="shared" si="0"/>
        <v>0</v>
      </c>
      <c r="D54" s="22"/>
      <c r="E54" s="22"/>
      <c r="F54" s="22"/>
      <c r="G54" s="15">
        <v>0</v>
      </c>
      <c r="H54" s="22">
        <v>0</v>
      </c>
      <c r="I54" s="22"/>
      <c r="J54" s="22"/>
    </row>
    <row r="55" spans="1:10" ht="15.75" thickBot="1">
      <c r="A55" s="10" t="s">
        <v>103</v>
      </c>
      <c r="B55" s="18" t="s">
        <v>104</v>
      </c>
      <c r="C55" s="12">
        <v>0</v>
      </c>
      <c r="D55" s="12">
        <v>0</v>
      </c>
      <c r="E55" s="12">
        <v>0</v>
      </c>
      <c r="F55" s="12">
        <v>0</v>
      </c>
      <c r="G55" s="12"/>
      <c r="H55" s="12">
        <v>0</v>
      </c>
      <c r="I55" s="12"/>
      <c r="J55" s="12">
        <v>0</v>
      </c>
    </row>
    <row r="56" spans="1:10" ht="23.25">
      <c r="A56" s="13" t="s">
        <v>105</v>
      </c>
      <c r="B56" s="14" t="s">
        <v>106</v>
      </c>
      <c r="C56" s="15">
        <f t="shared" si="0"/>
        <v>0</v>
      </c>
      <c r="D56" s="24"/>
      <c r="E56" s="24"/>
      <c r="F56" s="24"/>
      <c r="G56" s="15">
        <f>H56+I56+J56</f>
        <v>0</v>
      </c>
      <c r="H56" s="19"/>
      <c r="I56" s="19"/>
      <c r="J56" s="24"/>
    </row>
    <row r="57" spans="1:10" ht="23.25">
      <c r="A57" s="16" t="s">
        <v>107</v>
      </c>
      <c r="B57" s="17" t="s">
        <v>108</v>
      </c>
      <c r="C57" s="15">
        <f t="shared" si="0"/>
        <v>0</v>
      </c>
      <c r="D57" s="24"/>
      <c r="E57" s="24"/>
      <c r="F57" s="24"/>
      <c r="G57" s="15">
        <f>H57+I57+J57</f>
        <v>0</v>
      </c>
      <c r="H57" s="19"/>
      <c r="I57" s="19"/>
      <c r="J57" s="24"/>
    </row>
    <row r="58" spans="1:10" ht="15">
      <c r="A58" s="16" t="s">
        <v>109</v>
      </c>
      <c r="B58" s="17" t="s">
        <v>110</v>
      </c>
      <c r="C58" s="15">
        <f t="shared" si="0"/>
        <v>0</v>
      </c>
      <c r="D58" s="24"/>
      <c r="E58" s="24"/>
      <c r="F58" s="24"/>
      <c r="G58" s="15"/>
      <c r="H58" s="19"/>
      <c r="I58" s="19"/>
      <c r="J58" s="24"/>
    </row>
    <row r="59" spans="1:10" ht="15.75" thickBot="1">
      <c r="A59" s="20" t="s">
        <v>111</v>
      </c>
      <c r="B59" s="21" t="s">
        <v>112</v>
      </c>
      <c r="C59" s="15">
        <f t="shared" si="0"/>
        <v>0</v>
      </c>
      <c r="D59" s="24"/>
      <c r="E59" s="24"/>
      <c r="F59" s="24"/>
      <c r="G59" s="15">
        <f>H59+I59+J59</f>
        <v>0</v>
      </c>
      <c r="H59" s="19"/>
      <c r="I59" s="19"/>
      <c r="J59" s="24"/>
    </row>
    <row r="60" spans="1:10" ht="15.75" thickBot="1">
      <c r="A60" s="10" t="s">
        <v>113</v>
      </c>
      <c r="B60" s="11" t="s">
        <v>114</v>
      </c>
      <c r="C60" s="23">
        <f>C6+C19+C26+C33+C44+C50+C55+C12</f>
        <v>173847</v>
      </c>
      <c r="D60" s="23">
        <f>D6+D19+D26+D33+D44+D50+D55</f>
        <v>92489</v>
      </c>
      <c r="E60" s="23">
        <f>E6+E19+E26+E33+E44+E50+E55</f>
        <v>59687</v>
      </c>
      <c r="F60" s="30">
        <f>F6+F19+F26+F33+F44+F50+F55</f>
        <v>0</v>
      </c>
      <c r="G60" s="12">
        <f>G6+G12+G19+G26+G33+G44+G50+G55</f>
        <v>296787</v>
      </c>
      <c r="H60" s="12">
        <f>H6+H12+H19+H26+H33+H44+H50+H55</f>
        <v>99285</v>
      </c>
      <c r="I60" s="12">
        <f>I6+I12+I19+I26+I33+I44+I50+I55</f>
        <v>209002</v>
      </c>
      <c r="J60" s="30">
        <f>J6+J19+J26+J33+J44+J50+J55</f>
        <v>0</v>
      </c>
    </row>
    <row r="61" spans="1:10" ht="21.75" thickBot="1">
      <c r="A61" s="31" t="s">
        <v>115</v>
      </c>
      <c r="B61" s="18" t="s">
        <v>116</v>
      </c>
      <c r="C61" s="12">
        <f aca="true" t="shared" si="6" ref="C61:J61">C62+C63+C64</f>
        <v>0</v>
      </c>
      <c r="D61" s="12">
        <f t="shared" si="6"/>
        <v>0</v>
      </c>
      <c r="E61" s="12">
        <f t="shared" si="6"/>
        <v>0</v>
      </c>
      <c r="F61" s="12">
        <f t="shared" si="6"/>
        <v>0</v>
      </c>
      <c r="G61" s="12">
        <f t="shared" si="6"/>
        <v>165</v>
      </c>
      <c r="H61" s="12">
        <f t="shared" si="6"/>
        <v>165</v>
      </c>
      <c r="I61" s="12">
        <f t="shared" si="6"/>
        <v>0</v>
      </c>
      <c r="J61" s="12">
        <f t="shared" si="6"/>
        <v>0</v>
      </c>
    </row>
    <row r="62" spans="1:10" ht="15">
      <c r="A62" s="13" t="s">
        <v>117</v>
      </c>
      <c r="B62" s="14" t="s">
        <v>118</v>
      </c>
      <c r="C62" s="15">
        <f>D62+E62+F62</f>
        <v>0</v>
      </c>
      <c r="D62" s="24"/>
      <c r="E62" s="24"/>
      <c r="F62" s="24"/>
      <c r="G62" s="15">
        <f>H62+I62+J62</f>
        <v>0</v>
      </c>
      <c r="H62" s="19"/>
      <c r="I62" s="19"/>
      <c r="J62" s="24"/>
    </row>
    <row r="63" spans="1:10" ht="23.25">
      <c r="A63" s="16" t="s">
        <v>119</v>
      </c>
      <c r="B63" s="17" t="s">
        <v>120</v>
      </c>
      <c r="C63" s="15">
        <f>D63+E63+F63</f>
        <v>0</v>
      </c>
      <c r="D63" s="24">
        <v>0</v>
      </c>
      <c r="E63" s="24"/>
      <c r="F63" s="24"/>
      <c r="G63" s="15">
        <f>H63+I63+J63</f>
        <v>165</v>
      </c>
      <c r="H63" s="19">
        <v>165</v>
      </c>
      <c r="I63" s="19"/>
      <c r="J63" s="24"/>
    </row>
    <row r="64" spans="1:10" ht="15.75" thickBot="1">
      <c r="A64" s="20" t="s">
        <v>121</v>
      </c>
      <c r="B64" s="32" t="s">
        <v>122</v>
      </c>
      <c r="C64" s="15">
        <f>D64+E64+F64</f>
        <v>0</v>
      </c>
      <c r="D64" s="24"/>
      <c r="E64" s="24"/>
      <c r="F64" s="24"/>
      <c r="G64" s="15">
        <f>H64+I64+J64</f>
        <v>0</v>
      </c>
      <c r="H64" s="19"/>
      <c r="I64" s="19"/>
      <c r="J64" s="24"/>
    </row>
    <row r="65" spans="1:10" ht="15.75" thickBot="1">
      <c r="A65" s="31" t="s">
        <v>123</v>
      </c>
      <c r="B65" s="18" t="s">
        <v>124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ht="15">
      <c r="A66" s="13" t="s">
        <v>125</v>
      </c>
      <c r="B66" s="14" t="s">
        <v>126</v>
      </c>
      <c r="C66" s="15">
        <f>D66+E66+F66</f>
        <v>0</v>
      </c>
      <c r="D66" s="24"/>
      <c r="E66" s="24"/>
      <c r="F66" s="24"/>
      <c r="G66" s="15">
        <f>H66+I66+J66</f>
        <v>0</v>
      </c>
      <c r="H66" s="19"/>
      <c r="I66" s="19"/>
      <c r="J66" s="24"/>
    </row>
    <row r="67" spans="1:10" ht="15">
      <c r="A67" s="16" t="s">
        <v>127</v>
      </c>
      <c r="B67" s="17" t="s">
        <v>128</v>
      </c>
      <c r="C67" s="15">
        <f>D67+E67+F67</f>
        <v>0</v>
      </c>
      <c r="D67" s="24"/>
      <c r="E67" s="24"/>
      <c r="F67" s="24"/>
      <c r="G67" s="15">
        <f>H67+I67+J67</f>
        <v>0</v>
      </c>
      <c r="H67" s="19"/>
      <c r="I67" s="19"/>
      <c r="J67" s="24"/>
    </row>
    <row r="68" spans="1:10" ht="15">
      <c r="A68" s="16" t="s">
        <v>129</v>
      </c>
      <c r="B68" s="17" t="s">
        <v>130</v>
      </c>
      <c r="C68" s="15">
        <f>D68+E68+F68</f>
        <v>0</v>
      </c>
      <c r="D68" s="24"/>
      <c r="E68" s="24"/>
      <c r="F68" s="24"/>
      <c r="G68" s="15">
        <f>H68+I68+J68</f>
        <v>0</v>
      </c>
      <c r="H68" s="19"/>
      <c r="I68" s="19"/>
      <c r="J68" s="24"/>
    </row>
    <row r="69" spans="1:10" ht="15.75" thickBot="1">
      <c r="A69" s="20" t="s">
        <v>131</v>
      </c>
      <c r="B69" s="21" t="s">
        <v>132</v>
      </c>
      <c r="C69" s="15">
        <f>D69+E69+F69</f>
        <v>0</v>
      </c>
      <c r="D69" s="24"/>
      <c r="E69" s="24"/>
      <c r="F69" s="24"/>
      <c r="G69" s="15">
        <f>H69+I69+J69</f>
        <v>0</v>
      </c>
      <c r="H69" s="19"/>
      <c r="I69" s="19"/>
      <c r="J69" s="24"/>
    </row>
    <row r="70" spans="1:10" ht="15.75" thickBot="1">
      <c r="A70" s="31" t="s">
        <v>133</v>
      </c>
      <c r="B70" s="18" t="s">
        <v>134</v>
      </c>
      <c r="C70" s="12">
        <f aca="true" t="shared" si="7" ref="C70:J70">C71+C72</f>
        <v>1573</v>
      </c>
      <c r="D70" s="12">
        <f t="shared" si="7"/>
        <v>0</v>
      </c>
      <c r="E70" s="12">
        <f t="shared" si="7"/>
        <v>1573</v>
      </c>
      <c r="F70" s="12">
        <f t="shared" si="7"/>
        <v>0</v>
      </c>
      <c r="G70" s="12">
        <f t="shared" si="7"/>
        <v>18073</v>
      </c>
      <c r="H70" s="12">
        <f t="shared" si="7"/>
        <v>0</v>
      </c>
      <c r="I70" s="12">
        <f t="shared" si="7"/>
        <v>18073</v>
      </c>
      <c r="J70" s="12">
        <f t="shared" si="7"/>
        <v>0</v>
      </c>
    </row>
    <row r="71" spans="1:10" ht="15">
      <c r="A71" s="13" t="s">
        <v>135</v>
      </c>
      <c r="B71" s="14" t="s">
        <v>136</v>
      </c>
      <c r="C71" s="15">
        <f>D71+E71+F71</f>
        <v>1573</v>
      </c>
      <c r="D71" s="24">
        <v>0</v>
      </c>
      <c r="E71" s="24">
        <v>1573</v>
      </c>
      <c r="F71" s="24"/>
      <c r="G71" s="15">
        <v>18073</v>
      </c>
      <c r="H71" s="19">
        <v>0</v>
      </c>
      <c r="I71" s="19">
        <v>18073</v>
      </c>
      <c r="J71" s="24"/>
    </row>
    <row r="72" spans="1:10" ht="15.75" thickBot="1">
      <c r="A72" s="20" t="s">
        <v>137</v>
      </c>
      <c r="B72" s="21" t="s">
        <v>138</v>
      </c>
      <c r="C72" s="15">
        <f>D72+E72+F72</f>
        <v>0</v>
      </c>
      <c r="D72" s="24"/>
      <c r="E72" s="24"/>
      <c r="F72" s="24"/>
      <c r="G72" s="15">
        <f>H72+I72+J72</f>
        <v>0</v>
      </c>
      <c r="H72" s="19"/>
      <c r="I72" s="19"/>
      <c r="J72" s="24"/>
    </row>
    <row r="73" spans="1:10" ht="15.75" thickBot="1">
      <c r="A73" s="31" t="s">
        <v>139</v>
      </c>
      <c r="B73" s="18" t="s">
        <v>140</v>
      </c>
      <c r="C73" s="12">
        <f aca="true" t="shared" si="8" ref="C73:J73">C74+C75+C76</f>
        <v>26612</v>
      </c>
      <c r="D73" s="12">
        <f t="shared" si="8"/>
        <v>26612</v>
      </c>
      <c r="E73" s="12">
        <f t="shared" si="8"/>
        <v>0</v>
      </c>
      <c r="F73" s="12">
        <f t="shared" si="8"/>
        <v>0</v>
      </c>
      <c r="G73" s="12">
        <f t="shared" si="8"/>
        <v>29051</v>
      </c>
      <c r="H73" s="12">
        <f t="shared" si="8"/>
        <v>29051</v>
      </c>
      <c r="I73" s="12">
        <f t="shared" si="8"/>
        <v>0</v>
      </c>
      <c r="J73" s="12">
        <f t="shared" si="8"/>
        <v>0</v>
      </c>
    </row>
    <row r="74" spans="1:10" ht="15">
      <c r="A74" s="13" t="s">
        <v>141</v>
      </c>
      <c r="B74" s="14" t="s">
        <v>142</v>
      </c>
      <c r="C74" s="15">
        <f>D74+E74+F74</f>
        <v>26612</v>
      </c>
      <c r="D74" s="24">
        <v>26612</v>
      </c>
      <c r="E74" s="24"/>
      <c r="F74" s="24"/>
      <c r="G74" s="15">
        <f>H74+I74+J74</f>
        <v>27441</v>
      </c>
      <c r="H74" s="19">
        <v>27441</v>
      </c>
      <c r="I74" s="19"/>
      <c r="J74" s="24"/>
    </row>
    <row r="75" spans="1:10" ht="15">
      <c r="A75" s="16" t="s">
        <v>143</v>
      </c>
      <c r="B75" s="17" t="s">
        <v>144</v>
      </c>
      <c r="C75" s="15">
        <f>D75+E75+F75</f>
        <v>0</v>
      </c>
      <c r="D75" s="24"/>
      <c r="E75" s="24"/>
      <c r="F75" s="24"/>
      <c r="G75" s="15">
        <f>H75+I75+J75</f>
        <v>1610</v>
      </c>
      <c r="H75" s="19">
        <v>1610</v>
      </c>
      <c r="I75" s="19"/>
      <c r="J75" s="24"/>
    </row>
    <row r="76" spans="1:10" ht="15.75" thickBot="1">
      <c r="A76" s="20" t="s">
        <v>145</v>
      </c>
      <c r="B76" s="21" t="s">
        <v>146</v>
      </c>
      <c r="C76" s="15">
        <f>D76+E76+F76</f>
        <v>0</v>
      </c>
      <c r="D76" s="24"/>
      <c r="E76" s="24"/>
      <c r="F76" s="24"/>
      <c r="G76" s="15">
        <f>H76+I76+J76</f>
        <v>0</v>
      </c>
      <c r="H76" s="19"/>
      <c r="I76" s="19"/>
      <c r="J76" s="24"/>
    </row>
    <row r="77" spans="1:10" ht="15.75" thickBot="1">
      <c r="A77" s="31" t="s">
        <v>147</v>
      </c>
      <c r="B77" s="18" t="s">
        <v>148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</row>
    <row r="78" spans="1:10" ht="23.25">
      <c r="A78" s="33" t="s">
        <v>149</v>
      </c>
      <c r="B78" s="14" t="s">
        <v>150</v>
      </c>
      <c r="C78" s="15">
        <f>D78+E78+F78</f>
        <v>0</v>
      </c>
      <c r="D78" s="24"/>
      <c r="E78" s="24"/>
      <c r="F78" s="24"/>
      <c r="G78" s="15">
        <f>H78+I78+J78</f>
        <v>0</v>
      </c>
      <c r="H78" s="19"/>
      <c r="I78" s="19"/>
      <c r="J78" s="24"/>
    </row>
    <row r="79" spans="1:10" ht="23.25">
      <c r="A79" s="34" t="s">
        <v>151</v>
      </c>
      <c r="B79" s="17" t="s">
        <v>152</v>
      </c>
      <c r="C79" s="15">
        <f>D79+E79+F79</f>
        <v>0</v>
      </c>
      <c r="D79" s="24"/>
      <c r="E79" s="24"/>
      <c r="F79" s="24"/>
      <c r="G79" s="15">
        <f>H79+I79+J79</f>
        <v>0</v>
      </c>
      <c r="H79" s="19"/>
      <c r="I79" s="19"/>
      <c r="J79" s="24"/>
    </row>
    <row r="80" spans="1:10" ht="23.25">
      <c r="A80" s="34" t="s">
        <v>153</v>
      </c>
      <c r="B80" s="17" t="s">
        <v>154</v>
      </c>
      <c r="C80" s="15">
        <f>D80+E80+F80</f>
        <v>0</v>
      </c>
      <c r="D80" s="24"/>
      <c r="E80" s="24"/>
      <c r="F80" s="24"/>
      <c r="G80" s="15">
        <f>H80+I80+J80</f>
        <v>0</v>
      </c>
      <c r="H80" s="19"/>
      <c r="I80" s="19"/>
      <c r="J80" s="24"/>
    </row>
    <row r="81" spans="1:10" ht="24" thickBot="1">
      <c r="A81" s="35" t="s">
        <v>155</v>
      </c>
      <c r="B81" s="21" t="s">
        <v>156</v>
      </c>
      <c r="C81" s="15">
        <f>D81+E81+F81</f>
        <v>0</v>
      </c>
      <c r="D81" s="24"/>
      <c r="E81" s="24"/>
      <c r="F81" s="24"/>
      <c r="G81" s="15">
        <f>H81+I81+J81</f>
        <v>0</v>
      </c>
      <c r="H81" s="19"/>
      <c r="I81" s="19"/>
      <c r="J81" s="24"/>
    </row>
    <row r="82" spans="1:10" ht="21.75" thickBot="1">
      <c r="A82" s="31" t="s">
        <v>157</v>
      </c>
      <c r="B82" s="18" t="s">
        <v>158</v>
      </c>
      <c r="C82" s="36"/>
      <c r="D82" s="36"/>
      <c r="E82" s="36"/>
      <c r="F82" s="36"/>
      <c r="G82" s="36"/>
      <c r="H82" s="36"/>
      <c r="I82" s="36"/>
      <c r="J82" s="36"/>
    </row>
    <row r="83" spans="1:10" ht="15.75" thickBot="1">
      <c r="A83" s="31" t="s">
        <v>159</v>
      </c>
      <c r="B83" s="37" t="s">
        <v>160</v>
      </c>
      <c r="C83" s="23">
        <f aca="true" t="shared" si="9" ref="C83:J83">C61+C65+C70+C73+C77</f>
        <v>28185</v>
      </c>
      <c r="D83" s="23">
        <f t="shared" si="9"/>
        <v>26612</v>
      </c>
      <c r="E83" s="23">
        <f t="shared" si="9"/>
        <v>1573</v>
      </c>
      <c r="F83" s="23">
        <f t="shared" si="9"/>
        <v>0</v>
      </c>
      <c r="G83" s="12">
        <f t="shared" si="9"/>
        <v>47289</v>
      </c>
      <c r="H83" s="12">
        <f t="shared" si="9"/>
        <v>29216</v>
      </c>
      <c r="I83" s="12">
        <f t="shared" si="9"/>
        <v>18073</v>
      </c>
      <c r="J83" s="23">
        <f t="shared" si="9"/>
        <v>0</v>
      </c>
    </row>
    <row r="84" spans="1:10" ht="25.5" customHeight="1" thickBot="1">
      <c r="A84" s="38" t="s">
        <v>161</v>
      </c>
      <c r="B84" s="39" t="s">
        <v>162</v>
      </c>
      <c r="C84" s="23">
        <f aca="true" t="shared" si="10" ref="C84:J84">C60+C83</f>
        <v>202032</v>
      </c>
      <c r="D84" s="23">
        <f t="shared" si="10"/>
        <v>119101</v>
      </c>
      <c r="E84" s="23">
        <f t="shared" si="10"/>
        <v>61260</v>
      </c>
      <c r="F84" s="23">
        <f t="shared" si="10"/>
        <v>0</v>
      </c>
      <c r="G84" s="12">
        <f t="shared" si="10"/>
        <v>344076</v>
      </c>
      <c r="H84" s="12">
        <f t="shared" si="10"/>
        <v>128501</v>
      </c>
      <c r="I84" s="12">
        <f t="shared" si="10"/>
        <v>227075</v>
      </c>
      <c r="J84" s="23">
        <f t="shared" si="10"/>
        <v>0</v>
      </c>
    </row>
    <row r="85" spans="1:10" ht="15">
      <c r="A85" s="40"/>
      <c r="B85" s="40"/>
      <c r="C85" s="41"/>
      <c r="D85" s="41"/>
      <c r="E85" s="41"/>
      <c r="F85" s="41"/>
      <c r="G85" s="41"/>
      <c r="H85" s="41"/>
      <c r="I85" s="41"/>
      <c r="J85" s="41"/>
    </row>
    <row r="86" spans="1:10" ht="15">
      <c r="A86" s="40"/>
      <c r="B86" s="40"/>
      <c r="C86" s="41"/>
      <c r="D86" s="41"/>
      <c r="E86" s="41"/>
      <c r="F86" s="41"/>
      <c r="G86" s="41"/>
      <c r="H86" s="41"/>
      <c r="I86" s="41"/>
      <c r="J86" s="41"/>
    </row>
    <row r="87" spans="1:10" ht="15.75">
      <c r="A87" s="42"/>
      <c r="B87" s="43"/>
      <c r="C87" s="44"/>
      <c r="D87" s="44"/>
      <c r="E87" s="44"/>
      <c r="F87" s="44"/>
      <c r="G87" s="44"/>
      <c r="H87" s="44"/>
      <c r="I87" s="44"/>
      <c r="J87" s="44"/>
    </row>
    <row r="88" spans="1:6" ht="15.75">
      <c r="A88" s="466" t="s">
        <v>163</v>
      </c>
      <c r="B88" s="466"/>
      <c r="C88" s="466"/>
      <c r="D88" s="466"/>
      <c r="E88" s="466"/>
      <c r="F88" s="466"/>
    </row>
    <row r="89" spans="1:10" ht="15.75" thickBot="1">
      <c r="A89" s="464" t="s">
        <v>244</v>
      </c>
      <c r="B89" s="464"/>
      <c r="C89" s="45"/>
      <c r="D89" s="45"/>
      <c r="E89" s="45"/>
      <c r="F89" s="45"/>
      <c r="G89" s="45"/>
      <c r="H89" s="45"/>
      <c r="I89" s="45"/>
      <c r="J89" s="45" t="s">
        <v>1</v>
      </c>
    </row>
    <row r="90" spans="1:10" ht="36.75" customHeight="1" thickBot="1">
      <c r="A90" s="4" t="s">
        <v>2</v>
      </c>
      <c r="B90" s="5" t="s">
        <v>164</v>
      </c>
      <c r="C90" s="459" t="s">
        <v>426</v>
      </c>
      <c r="D90" s="460"/>
      <c r="E90" s="460"/>
      <c r="F90" s="461"/>
      <c r="G90" s="459" t="s">
        <v>438</v>
      </c>
      <c r="H90" s="460"/>
      <c r="I90" s="460"/>
      <c r="J90" s="461"/>
    </row>
    <row r="91" spans="1:10" ht="15.75" thickBot="1">
      <c r="A91" s="46" t="s">
        <v>240</v>
      </c>
      <c r="B91" s="47" t="s">
        <v>241</v>
      </c>
      <c r="C91" s="48" t="s">
        <v>242</v>
      </c>
      <c r="D91" s="48" t="s">
        <v>250</v>
      </c>
      <c r="E91" s="48" t="s">
        <v>251</v>
      </c>
      <c r="F91" s="48" t="s">
        <v>252</v>
      </c>
      <c r="G91" s="48" t="s">
        <v>375</v>
      </c>
      <c r="H91" s="48" t="s">
        <v>417</v>
      </c>
      <c r="I91" s="48" t="s">
        <v>418</v>
      </c>
      <c r="J91" s="48" t="s">
        <v>419</v>
      </c>
    </row>
    <row r="92" spans="1:10" ht="42.75" thickBot="1">
      <c r="A92" s="7"/>
      <c r="B92" s="8"/>
      <c r="C92" s="9" t="s">
        <v>245</v>
      </c>
      <c r="D92" s="9" t="s">
        <v>246</v>
      </c>
      <c r="E92" s="9" t="s">
        <v>247</v>
      </c>
      <c r="F92" s="9" t="s">
        <v>248</v>
      </c>
      <c r="G92" s="9" t="s">
        <v>245</v>
      </c>
      <c r="H92" s="9" t="s">
        <v>246</v>
      </c>
      <c r="I92" s="9" t="s">
        <v>247</v>
      </c>
      <c r="J92" s="9" t="s">
        <v>248</v>
      </c>
    </row>
    <row r="93" spans="1:10" ht="15.75" thickBot="1">
      <c r="A93" s="49" t="s">
        <v>4</v>
      </c>
      <c r="B93" s="50" t="s">
        <v>449</v>
      </c>
      <c r="C93" s="51">
        <f>C94+C95+C96+C97+C98</f>
        <v>121251</v>
      </c>
      <c r="D93" s="51">
        <f>D94+D95+D96+D97+D98</f>
        <v>113109</v>
      </c>
      <c r="E93" s="51">
        <f>E94+E95+E96+E97+E98</f>
        <v>8142</v>
      </c>
      <c r="F93" s="51">
        <v>0</v>
      </c>
      <c r="G93" s="51">
        <f>G94+G95+G96+G97+G98</f>
        <v>195428</v>
      </c>
      <c r="H93" s="51">
        <f>H94+H95+H96+H97+H98</f>
        <v>179997</v>
      </c>
      <c r="I93" s="51">
        <f>I94+I95+I96+I97+I98</f>
        <v>15430</v>
      </c>
      <c r="J93" s="51">
        <v>0</v>
      </c>
    </row>
    <row r="94" spans="1:10" ht="15">
      <c r="A94" s="52" t="s">
        <v>6</v>
      </c>
      <c r="B94" s="53" t="s">
        <v>165</v>
      </c>
      <c r="C94" s="15">
        <f aca="true" t="shared" si="11" ref="C94:C108">D94+E94+F94</f>
        <v>43874</v>
      </c>
      <c r="D94" s="54">
        <f>43874-E94</f>
        <v>41227</v>
      </c>
      <c r="E94" s="54">
        <v>2647</v>
      </c>
      <c r="F94" s="54"/>
      <c r="G94" s="15">
        <v>75981</v>
      </c>
      <c r="H94" s="54">
        <v>73334</v>
      </c>
      <c r="I94" s="54">
        <v>2647</v>
      </c>
      <c r="J94" s="54"/>
    </row>
    <row r="95" spans="1:10" ht="15">
      <c r="A95" s="16" t="s">
        <v>8</v>
      </c>
      <c r="B95" s="55" t="s">
        <v>166</v>
      </c>
      <c r="C95" s="15">
        <f t="shared" si="11"/>
        <v>10378</v>
      </c>
      <c r="D95" s="19">
        <f>10378-E95</f>
        <v>9653</v>
      </c>
      <c r="E95" s="19">
        <v>725</v>
      </c>
      <c r="F95" s="19"/>
      <c r="G95" s="15">
        <v>14107</v>
      </c>
      <c r="H95" s="19">
        <f>14106-I95</f>
        <v>13380</v>
      </c>
      <c r="I95" s="19">
        <v>726</v>
      </c>
      <c r="J95" s="19"/>
    </row>
    <row r="96" spans="1:10" ht="15">
      <c r="A96" s="16" t="s">
        <v>10</v>
      </c>
      <c r="B96" s="55" t="s">
        <v>167</v>
      </c>
      <c r="C96" s="15">
        <f t="shared" si="11"/>
        <v>44706</v>
      </c>
      <c r="D96" s="22">
        <f>44706-E96</f>
        <v>40056</v>
      </c>
      <c r="E96" s="22">
        <v>4650</v>
      </c>
      <c r="F96" s="22"/>
      <c r="G96" s="15">
        <v>64460</v>
      </c>
      <c r="H96" s="22">
        <v>59810</v>
      </c>
      <c r="I96" s="22">
        <v>4650</v>
      </c>
      <c r="J96" s="22"/>
    </row>
    <row r="97" spans="1:10" ht="15">
      <c r="A97" s="16" t="s">
        <v>12</v>
      </c>
      <c r="B97" s="56" t="s">
        <v>168</v>
      </c>
      <c r="C97" s="15">
        <f t="shared" si="11"/>
        <v>4354</v>
      </c>
      <c r="D97" s="22">
        <v>4354</v>
      </c>
      <c r="E97" s="22"/>
      <c r="F97" s="22"/>
      <c r="G97" s="15">
        <f>H97+I97+J97</f>
        <v>4354</v>
      </c>
      <c r="H97" s="22">
        <v>4354</v>
      </c>
      <c r="I97" s="22"/>
      <c r="J97" s="22"/>
    </row>
    <row r="98" spans="1:10" ht="15">
      <c r="A98" s="16" t="s">
        <v>169</v>
      </c>
      <c r="B98" s="57" t="s">
        <v>170</v>
      </c>
      <c r="C98" s="15">
        <f>D98+E98+F98</f>
        <v>17939</v>
      </c>
      <c r="D98" s="22">
        <f>D100+D101+D102+D103+D104+D105+D106+D107+D108+D99</f>
        <v>17819</v>
      </c>
      <c r="E98" s="22">
        <f>E100+E101+E102+E103+E104+E105+E106+E107+E108</f>
        <v>120</v>
      </c>
      <c r="F98" s="22">
        <f>F100+F101+F102+F103+F104+F105+F106+F107+F108</f>
        <v>0</v>
      </c>
      <c r="G98" s="15">
        <f>H98+I98+J98</f>
        <v>36526</v>
      </c>
      <c r="H98" s="22">
        <f>36526-I98</f>
        <v>29119</v>
      </c>
      <c r="I98" s="22">
        <f>I105+I108</f>
        <v>7407</v>
      </c>
      <c r="J98" s="22">
        <f>J100+J101+J102+J103+J104+J105+J106+J107+J108</f>
        <v>0</v>
      </c>
    </row>
    <row r="99" spans="1:10" ht="15">
      <c r="A99" s="16" t="s">
        <v>15</v>
      </c>
      <c r="B99" s="55" t="s">
        <v>171</v>
      </c>
      <c r="C99" s="15">
        <f t="shared" si="11"/>
        <v>10</v>
      </c>
      <c r="D99" s="22">
        <v>10</v>
      </c>
      <c r="E99" s="22"/>
      <c r="F99" s="22"/>
      <c r="G99" s="15">
        <f aca="true" t="shared" si="12" ref="G99:G107">H99+I99+J99</f>
        <v>3469</v>
      </c>
      <c r="H99" s="22">
        <v>3469</v>
      </c>
      <c r="I99" s="22"/>
      <c r="J99" s="22"/>
    </row>
    <row r="100" spans="1:10" ht="15">
      <c r="A100" s="16" t="s">
        <v>172</v>
      </c>
      <c r="B100" s="58" t="s">
        <v>173</v>
      </c>
      <c r="C100" s="15">
        <f t="shared" si="11"/>
        <v>0</v>
      </c>
      <c r="D100" s="22"/>
      <c r="E100" s="22"/>
      <c r="F100" s="22"/>
      <c r="G100" s="15">
        <f t="shared" si="12"/>
        <v>0</v>
      </c>
      <c r="H100" s="22"/>
      <c r="I100" s="22"/>
      <c r="J100" s="22"/>
    </row>
    <row r="101" spans="1:10" ht="22.5">
      <c r="A101" s="16" t="s">
        <v>174</v>
      </c>
      <c r="B101" s="59" t="s">
        <v>175</v>
      </c>
      <c r="C101" s="15">
        <f t="shared" si="11"/>
        <v>0</v>
      </c>
      <c r="D101" s="22"/>
      <c r="E101" s="22"/>
      <c r="F101" s="22"/>
      <c r="G101" s="15">
        <f t="shared" si="12"/>
        <v>0</v>
      </c>
      <c r="H101" s="22"/>
      <c r="I101" s="22"/>
      <c r="J101" s="22"/>
    </row>
    <row r="102" spans="1:10" ht="22.5">
      <c r="A102" s="16" t="s">
        <v>176</v>
      </c>
      <c r="B102" s="59" t="s">
        <v>177</v>
      </c>
      <c r="C102" s="15">
        <f t="shared" si="11"/>
        <v>0</v>
      </c>
      <c r="D102" s="22"/>
      <c r="E102" s="22"/>
      <c r="F102" s="22"/>
      <c r="G102" s="15">
        <f t="shared" si="12"/>
        <v>0</v>
      </c>
      <c r="H102" s="22"/>
      <c r="I102" s="22"/>
      <c r="J102" s="22"/>
    </row>
    <row r="103" spans="1:10" ht="15">
      <c r="A103" s="16" t="s">
        <v>178</v>
      </c>
      <c r="B103" s="58" t="s">
        <v>179</v>
      </c>
      <c r="C103" s="15">
        <f t="shared" si="11"/>
        <v>17809</v>
      </c>
      <c r="D103" s="22">
        <v>17809</v>
      </c>
      <c r="E103" s="22"/>
      <c r="F103" s="22"/>
      <c r="G103" s="15">
        <v>25650</v>
      </c>
      <c r="H103" s="22">
        <v>25650</v>
      </c>
      <c r="I103" s="22"/>
      <c r="J103" s="22"/>
    </row>
    <row r="104" spans="1:10" ht="15">
      <c r="A104" s="16" t="s">
        <v>180</v>
      </c>
      <c r="B104" s="58" t="s">
        <v>181</v>
      </c>
      <c r="C104" s="15">
        <f t="shared" si="11"/>
        <v>0</v>
      </c>
      <c r="D104" s="22"/>
      <c r="E104" s="22"/>
      <c r="F104" s="22"/>
      <c r="G104" s="15">
        <f t="shared" si="12"/>
        <v>0</v>
      </c>
      <c r="H104" s="22"/>
      <c r="I104" s="22"/>
      <c r="J104" s="22"/>
    </row>
    <row r="105" spans="1:10" ht="22.5">
      <c r="A105" s="16" t="s">
        <v>182</v>
      </c>
      <c r="B105" s="59" t="s">
        <v>183</v>
      </c>
      <c r="C105" s="15">
        <f t="shared" si="11"/>
        <v>0</v>
      </c>
      <c r="D105" s="22"/>
      <c r="E105" s="22"/>
      <c r="F105" s="22"/>
      <c r="G105" s="15">
        <v>461</v>
      </c>
      <c r="H105" s="22"/>
      <c r="I105" s="22">
        <v>461</v>
      </c>
      <c r="J105" s="22"/>
    </row>
    <row r="106" spans="1:10" ht="15">
      <c r="A106" s="60" t="s">
        <v>184</v>
      </c>
      <c r="B106" s="61" t="s">
        <v>185</v>
      </c>
      <c r="C106" s="15">
        <f t="shared" si="11"/>
        <v>0</v>
      </c>
      <c r="D106" s="22"/>
      <c r="E106" s="22"/>
      <c r="F106" s="22"/>
      <c r="G106" s="15">
        <f t="shared" si="12"/>
        <v>0</v>
      </c>
      <c r="H106" s="22"/>
      <c r="I106" s="22"/>
      <c r="J106" s="22"/>
    </row>
    <row r="107" spans="1:10" ht="15">
      <c r="A107" s="16" t="s">
        <v>186</v>
      </c>
      <c r="B107" s="61" t="s">
        <v>187</v>
      </c>
      <c r="C107" s="15">
        <f t="shared" si="11"/>
        <v>0</v>
      </c>
      <c r="D107" s="22"/>
      <c r="E107" s="22"/>
      <c r="F107" s="22"/>
      <c r="G107" s="15">
        <f t="shared" si="12"/>
        <v>0</v>
      </c>
      <c r="H107" s="22"/>
      <c r="I107" s="22"/>
      <c r="J107" s="22"/>
    </row>
    <row r="108" spans="1:10" ht="23.25" thickBot="1">
      <c r="A108" s="62" t="s">
        <v>188</v>
      </c>
      <c r="B108" s="63" t="s">
        <v>189</v>
      </c>
      <c r="C108" s="15">
        <f t="shared" si="11"/>
        <v>120</v>
      </c>
      <c r="D108" s="64"/>
      <c r="E108" s="64">
        <v>120</v>
      </c>
      <c r="F108" s="64"/>
      <c r="G108" s="15">
        <v>6946</v>
      </c>
      <c r="H108" s="64"/>
      <c r="I108" s="64">
        <v>6946</v>
      </c>
      <c r="J108" s="64"/>
    </row>
    <row r="109" spans="1:10" ht="15.75" thickBot="1">
      <c r="A109" s="10" t="s">
        <v>17</v>
      </c>
      <c r="B109" s="65" t="s">
        <v>450</v>
      </c>
      <c r="C109" s="12">
        <f>C110+C112+C114</f>
        <v>53669</v>
      </c>
      <c r="D109" s="12">
        <v>0</v>
      </c>
      <c r="E109" s="12">
        <f>E110+E112+E114</f>
        <v>53669</v>
      </c>
      <c r="F109" s="12">
        <v>0</v>
      </c>
      <c r="G109" s="12">
        <f>G110+G112+G114</f>
        <v>118455</v>
      </c>
      <c r="H109" s="12">
        <v>0</v>
      </c>
      <c r="I109" s="12">
        <f>I110+I112+I114</f>
        <v>118455</v>
      </c>
      <c r="J109" s="12">
        <v>0</v>
      </c>
    </row>
    <row r="110" spans="1:10" ht="15">
      <c r="A110" s="13" t="s">
        <v>19</v>
      </c>
      <c r="B110" s="55" t="s">
        <v>190</v>
      </c>
      <c r="C110" s="15">
        <f>D110+E110+F110</f>
        <v>31664</v>
      </c>
      <c r="D110" s="15">
        <f>D111</f>
        <v>0</v>
      </c>
      <c r="E110" s="15">
        <v>31664</v>
      </c>
      <c r="F110" s="15">
        <f>F111</f>
        <v>0</v>
      </c>
      <c r="G110" s="15">
        <v>67214</v>
      </c>
      <c r="H110" s="15">
        <f>H111</f>
        <v>0</v>
      </c>
      <c r="I110" s="15">
        <v>67214</v>
      </c>
      <c r="J110" s="15">
        <f>J111</f>
        <v>0</v>
      </c>
    </row>
    <row r="111" spans="1:10" ht="15">
      <c r="A111" s="13" t="s">
        <v>21</v>
      </c>
      <c r="B111" s="66" t="s">
        <v>191</v>
      </c>
      <c r="C111" s="15">
        <f aca="true" t="shared" si="13" ref="C111:C122">D111+E111+F111</f>
        <v>31664</v>
      </c>
      <c r="D111" s="15"/>
      <c r="E111" s="15">
        <v>31664</v>
      </c>
      <c r="F111" s="15"/>
      <c r="G111" s="15">
        <f aca="true" t="shared" si="14" ref="G111:G117">H111+I111+J111</f>
        <v>31664</v>
      </c>
      <c r="H111" s="15"/>
      <c r="I111" s="15">
        <v>31664</v>
      </c>
      <c r="J111" s="15"/>
    </row>
    <row r="112" spans="1:10" ht="15">
      <c r="A112" s="13" t="s">
        <v>23</v>
      </c>
      <c r="B112" s="66" t="s">
        <v>192</v>
      </c>
      <c r="C112" s="15">
        <f t="shared" si="13"/>
        <v>0</v>
      </c>
      <c r="D112" s="19">
        <f>D113</f>
        <v>0</v>
      </c>
      <c r="E112" s="19">
        <f>E113</f>
        <v>0</v>
      </c>
      <c r="F112" s="19">
        <f>F113</f>
        <v>0</v>
      </c>
      <c r="G112" s="15">
        <v>21236</v>
      </c>
      <c r="H112" s="19">
        <f>H113</f>
        <v>0</v>
      </c>
      <c r="I112" s="19">
        <v>21236</v>
      </c>
      <c r="J112" s="19">
        <f>J113</f>
        <v>0</v>
      </c>
    </row>
    <row r="113" spans="1:10" ht="15">
      <c r="A113" s="13" t="s">
        <v>25</v>
      </c>
      <c r="B113" s="66" t="s">
        <v>193</v>
      </c>
      <c r="C113" s="15">
        <f t="shared" si="13"/>
        <v>0</v>
      </c>
      <c r="D113" s="67"/>
      <c r="E113" s="67">
        <v>0</v>
      </c>
      <c r="F113" s="67"/>
      <c r="G113" s="15">
        <f t="shared" si="14"/>
        <v>0</v>
      </c>
      <c r="H113" s="67"/>
      <c r="I113" s="67">
        <v>0</v>
      </c>
      <c r="J113" s="67"/>
    </row>
    <row r="114" spans="1:10" ht="15">
      <c r="A114" s="13" t="s">
        <v>27</v>
      </c>
      <c r="B114" s="68" t="s">
        <v>194</v>
      </c>
      <c r="C114" s="15">
        <f t="shared" si="13"/>
        <v>22005</v>
      </c>
      <c r="D114" s="67"/>
      <c r="E114" s="67">
        <v>22005</v>
      </c>
      <c r="F114" s="67"/>
      <c r="G114" s="15">
        <v>30005</v>
      </c>
      <c r="H114" s="67"/>
      <c r="I114" s="67">
        <v>30005</v>
      </c>
      <c r="J114" s="67"/>
    </row>
    <row r="115" spans="1:10" ht="22.5">
      <c r="A115" s="13" t="s">
        <v>29</v>
      </c>
      <c r="B115" s="69" t="s">
        <v>195</v>
      </c>
      <c r="C115" s="15">
        <f t="shared" si="13"/>
        <v>0</v>
      </c>
      <c r="D115" s="67"/>
      <c r="E115" s="67"/>
      <c r="F115" s="67"/>
      <c r="G115" s="15">
        <f t="shared" si="14"/>
        <v>0</v>
      </c>
      <c r="H115" s="67"/>
      <c r="I115" s="67"/>
      <c r="J115" s="67"/>
    </row>
    <row r="116" spans="1:10" ht="22.5">
      <c r="A116" s="13" t="s">
        <v>196</v>
      </c>
      <c r="B116" s="70" t="s">
        <v>197</v>
      </c>
      <c r="C116" s="15">
        <f t="shared" si="13"/>
        <v>0</v>
      </c>
      <c r="D116" s="67"/>
      <c r="E116" s="67"/>
      <c r="F116" s="67"/>
      <c r="G116" s="15">
        <f t="shared" si="14"/>
        <v>0</v>
      </c>
      <c r="H116" s="67"/>
      <c r="I116" s="67"/>
      <c r="J116" s="67"/>
    </row>
    <row r="117" spans="1:10" ht="22.5">
      <c r="A117" s="13" t="s">
        <v>198</v>
      </c>
      <c r="B117" s="59" t="s">
        <v>177</v>
      </c>
      <c r="C117" s="15">
        <f t="shared" si="13"/>
        <v>0</v>
      </c>
      <c r="D117" s="67"/>
      <c r="E117" s="67"/>
      <c r="F117" s="67"/>
      <c r="G117" s="15">
        <f t="shared" si="14"/>
        <v>0</v>
      </c>
      <c r="H117" s="67"/>
      <c r="I117" s="67"/>
      <c r="J117" s="67"/>
    </row>
    <row r="118" spans="1:10" ht="15">
      <c r="A118" s="13" t="s">
        <v>199</v>
      </c>
      <c r="B118" s="59" t="s">
        <v>200</v>
      </c>
      <c r="C118" s="15">
        <f>D118+E118+F118</f>
        <v>22005</v>
      </c>
      <c r="D118" s="67"/>
      <c r="E118" s="67">
        <v>22005</v>
      </c>
      <c r="F118" s="67"/>
      <c r="G118" s="15">
        <v>30005</v>
      </c>
      <c r="H118" s="67"/>
      <c r="I118" s="67">
        <v>30005</v>
      </c>
      <c r="J118" s="67"/>
    </row>
    <row r="119" spans="1:10" ht="22.5">
      <c r="A119" s="13" t="s">
        <v>201</v>
      </c>
      <c r="B119" s="59" t="s">
        <v>202</v>
      </c>
      <c r="C119" s="15">
        <f t="shared" si="13"/>
        <v>0</v>
      </c>
      <c r="D119" s="67"/>
      <c r="E119" s="67"/>
      <c r="F119" s="67"/>
      <c r="G119" s="15">
        <f>H119+I119+J119</f>
        <v>0</v>
      </c>
      <c r="H119" s="67"/>
      <c r="I119" s="67"/>
      <c r="J119" s="67"/>
    </row>
    <row r="120" spans="1:10" ht="22.5">
      <c r="A120" s="13" t="s">
        <v>203</v>
      </c>
      <c r="B120" s="59" t="s">
        <v>183</v>
      </c>
      <c r="C120" s="15">
        <f t="shared" si="13"/>
        <v>0</v>
      </c>
      <c r="D120" s="67"/>
      <c r="E120" s="67"/>
      <c r="F120" s="67"/>
      <c r="G120" s="15">
        <f>H120+I120+J120</f>
        <v>0</v>
      </c>
      <c r="H120" s="67"/>
      <c r="I120" s="67"/>
      <c r="J120" s="67"/>
    </row>
    <row r="121" spans="1:10" ht="15">
      <c r="A121" s="13" t="s">
        <v>204</v>
      </c>
      <c r="B121" s="59" t="s">
        <v>205</v>
      </c>
      <c r="C121" s="15">
        <f t="shared" si="13"/>
        <v>0</v>
      </c>
      <c r="D121" s="67"/>
      <c r="E121" s="67"/>
      <c r="F121" s="67"/>
      <c r="G121" s="15">
        <f>H121+I121+J121</f>
        <v>0</v>
      </c>
      <c r="H121" s="67"/>
      <c r="I121" s="67"/>
      <c r="J121" s="67"/>
    </row>
    <row r="122" spans="1:10" ht="23.25" thickBot="1">
      <c r="A122" s="60" t="s">
        <v>206</v>
      </c>
      <c r="B122" s="59" t="s">
        <v>207</v>
      </c>
      <c r="C122" s="15">
        <f t="shared" si="13"/>
        <v>0</v>
      </c>
      <c r="D122" s="71"/>
      <c r="E122" s="71"/>
      <c r="F122" s="71"/>
      <c r="G122" s="15">
        <f>H122+I122+J122</f>
        <v>0</v>
      </c>
      <c r="H122" s="71"/>
      <c r="I122" s="71"/>
      <c r="J122" s="71"/>
    </row>
    <row r="123" spans="1:10" ht="15.75" thickBot="1">
      <c r="A123" s="10" t="s">
        <v>31</v>
      </c>
      <c r="B123" s="72" t="s">
        <v>208</v>
      </c>
      <c r="C123" s="12">
        <f aca="true" t="shared" si="15" ref="C123:J123">C124+C125</f>
        <v>500</v>
      </c>
      <c r="D123" s="12">
        <f t="shared" si="15"/>
        <v>500</v>
      </c>
      <c r="E123" s="12">
        <f t="shared" si="15"/>
        <v>0</v>
      </c>
      <c r="F123" s="12">
        <f t="shared" si="15"/>
        <v>0</v>
      </c>
      <c r="G123" s="12">
        <f t="shared" si="15"/>
        <v>1000</v>
      </c>
      <c r="H123" s="12">
        <f t="shared" si="15"/>
        <v>1000</v>
      </c>
      <c r="I123" s="12">
        <f t="shared" si="15"/>
        <v>0</v>
      </c>
      <c r="J123" s="12">
        <f t="shared" si="15"/>
        <v>0</v>
      </c>
    </row>
    <row r="124" spans="1:10" ht="15">
      <c r="A124" s="13" t="s">
        <v>33</v>
      </c>
      <c r="B124" s="73" t="s">
        <v>209</v>
      </c>
      <c r="C124" s="15">
        <f>D124+E124+F124</f>
        <v>500</v>
      </c>
      <c r="D124" s="15">
        <v>500</v>
      </c>
      <c r="E124" s="15"/>
      <c r="F124" s="15"/>
      <c r="G124" s="15">
        <f>H124+I124+J124</f>
        <v>1000</v>
      </c>
      <c r="H124" s="15">
        <v>1000</v>
      </c>
      <c r="I124" s="15"/>
      <c r="J124" s="15"/>
    </row>
    <row r="125" spans="1:10" ht="15.75" thickBot="1">
      <c r="A125" s="20" t="s">
        <v>35</v>
      </c>
      <c r="B125" s="66" t="s">
        <v>210</v>
      </c>
      <c r="C125" s="15">
        <f>D125+E125+F125</f>
        <v>0</v>
      </c>
      <c r="D125" s="22"/>
      <c r="E125" s="22"/>
      <c r="F125" s="22"/>
      <c r="G125" s="15">
        <f>H125+I125+J125</f>
        <v>0</v>
      </c>
      <c r="H125" s="22"/>
      <c r="I125" s="22"/>
      <c r="J125" s="22"/>
    </row>
    <row r="126" spans="1:10" ht="15.75" thickBot="1">
      <c r="A126" s="10" t="s">
        <v>211</v>
      </c>
      <c r="B126" s="72" t="s">
        <v>212</v>
      </c>
      <c r="C126" s="12">
        <f aca="true" t="shared" si="16" ref="C126:J126">C93+C109+C123</f>
        <v>175420</v>
      </c>
      <c r="D126" s="12">
        <f t="shared" si="16"/>
        <v>113609</v>
      </c>
      <c r="E126" s="12">
        <f t="shared" si="16"/>
        <v>61811</v>
      </c>
      <c r="F126" s="12">
        <f t="shared" si="16"/>
        <v>0</v>
      </c>
      <c r="G126" s="12">
        <f t="shared" si="16"/>
        <v>314883</v>
      </c>
      <c r="H126" s="12">
        <f t="shared" si="16"/>
        <v>180997</v>
      </c>
      <c r="I126" s="12">
        <f t="shared" si="16"/>
        <v>133885</v>
      </c>
      <c r="J126" s="12">
        <f t="shared" si="16"/>
        <v>0</v>
      </c>
    </row>
    <row r="127" spans="1:10" ht="21.75" thickBot="1">
      <c r="A127" s="10" t="s">
        <v>59</v>
      </c>
      <c r="B127" s="72" t="s">
        <v>213</v>
      </c>
      <c r="C127" s="12">
        <f>C128+C129+C130</f>
        <v>0</v>
      </c>
      <c r="D127" s="12">
        <v>0</v>
      </c>
      <c r="E127" s="12">
        <v>0</v>
      </c>
      <c r="F127" s="12">
        <v>0</v>
      </c>
      <c r="G127" s="12">
        <f>G128+G129+G130</f>
        <v>165</v>
      </c>
      <c r="H127" s="12">
        <v>0</v>
      </c>
      <c r="I127" s="12">
        <v>0</v>
      </c>
      <c r="J127" s="12">
        <v>0</v>
      </c>
    </row>
    <row r="128" spans="1:10" ht="15">
      <c r="A128" s="13" t="s">
        <v>61</v>
      </c>
      <c r="B128" s="73" t="s">
        <v>214</v>
      </c>
      <c r="C128" s="15">
        <f aca="true" t="shared" si="17" ref="C128:C135">D128+E128+F128</f>
        <v>0</v>
      </c>
      <c r="D128" s="67"/>
      <c r="E128" s="67"/>
      <c r="F128" s="67"/>
      <c r="G128" s="15">
        <f aca="true" t="shared" si="18" ref="G128:G135">H128+I128+J128</f>
        <v>165</v>
      </c>
      <c r="H128" s="67"/>
      <c r="I128" s="67">
        <v>165</v>
      </c>
      <c r="J128" s="67"/>
    </row>
    <row r="129" spans="1:10" ht="22.5">
      <c r="A129" s="13" t="s">
        <v>63</v>
      </c>
      <c r="B129" s="73" t="s">
        <v>215</v>
      </c>
      <c r="C129" s="15">
        <f t="shared" si="17"/>
        <v>0</v>
      </c>
      <c r="D129" s="67"/>
      <c r="E129" s="67"/>
      <c r="F129" s="67"/>
      <c r="G129" s="15">
        <f t="shared" si="18"/>
        <v>0</v>
      </c>
      <c r="H129" s="67"/>
      <c r="I129" s="67"/>
      <c r="J129" s="67"/>
    </row>
    <row r="130" spans="1:10" ht="15">
      <c r="A130" s="74" t="s">
        <v>65</v>
      </c>
      <c r="B130" s="55" t="s">
        <v>216</v>
      </c>
      <c r="C130" s="15">
        <f t="shared" si="17"/>
        <v>0</v>
      </c>
      <c r="D130" s="75"/>
      <c r="E130" s="75"/>
      <c r="F130" s="75"/>
      <c r="G130" s="15">
        <f t="shared" si="18"/>
        <v>0</v>
      </c>
      <c r="H130" s="75"/>
      <c r="I130" s="75"/>
      <c r="J130" s="75"/>
    </row>
    <row r="131" spans="1:10" ht="15.75" thickBot="1">
      <c r="A131" s="25" t="s">
        <v>81</v>
      </c>
      <c r="B131" s="76" t="s">
        <v>217</v>
      </c>
      <c r="C131" s="15">
        <f t="shared" si="17"/>
        <v>0</v>
      </c>
      <c r="D131" s="27">
        <v>0</v>
      </c>
      <c r="E131" s="27">
        <v>0</v>
      </c>
      <c r="F131" s="27">
        <v>0</v>
      </c>
      <c r="G131" s="15">
        <f t="shared" si="18"/>
        <v>0</v>
      </c>
      <c r="H131" s="27">
        <v>0</v>
      </c>
      <c r="I131" s="27">
        <v>0</v>
      </c>
      <c r="J131" s="27">
        <v>0</v>
      </c>
    </row>
    <row r="132" spans="1:10" ht="15">
      <c r="A132" s="13" t="s">
        <v>83</v>
      </c>
      <c r="B132" s="73" t="s">
        <v>218</v>
      </c>
      <c r="C132" s="15">
        <f t="shared" si="17"/>
        <v>0</v>
      </c>
      <c r="D132" s="67"/>
      <c r="E132" s="67"/>
      <c r="F132" s="67"/>
      <c r="G132" s="15">
        <f t="shared" si="18"/>
        <v>0</v>
      </c>
      <c r="H132" s="67"/>
      <c r="I132" s="67"/>
      <c r="J132" s="67"/>
    </row>
    <row r="133" spans="1:10" ht="15">
      <c r="A133" s="13" t="s">
        <v>85</v>
      </c>
      <c r="B133" s="73" t="s">
        <v>219</v>
      </c>
      <c r="C133" s="15">
        <f t="shared" si="17"/>
        <v>0</v>
      </c>
      <c r="D133" s="67"/>
      <c r="E133" s="67"/>
      <c r="F133" s="67"/>
      <c r="G133" s="15">
        <f t="shared" si="18"/>
        <v>0</v>
      </c>
      <c r="H133" s="67"/>
      <c r="I133" s="67"/>
      <c r="J133" s="67"/>
    </row>
    <row r="134" spans="1:10" ht="15">
      <c r="A134" s="13" t="s">
        <v>87</v>
      </c>
      <c r="B134" s="73" t="s">
        <v>220</v>
      </c>
      <c r="C134" s="15">
        <f t="shared" si="17"/>
        <v>0</v>
      </c>
      <c r="D134" s="67"/>
      <c r="E134" s="67"/>
      <c r="F134" s="67"/>
      <c r="G134" s="15">
        <f t="shared" si="18"/>
        <v>0</v>
      </c>
      <c r="H134" s="67"/>
      <c r="I134" s="67"/>
      <c r="J134" s="67"/>
    </row>
    <row r="135" spans="1:10" ht="15.75" thickBot="1">
      <c r="A135" s="60" t="s">
        <v>89</v>
      </c>
      <c r="B135" s="77" t="s">
        <v>221</v>
      </c>
      <c r="C135" s="15">
        <f t="shared" si="17"/>
        <v>0</v>
      </c>
      <c r="D135" s="67"/>
      <c r="E135" s="67"/>
      <c r="F135" s="67"/>
      <c r="G135" s="15">
        <f t="shared" si="18"/>
        <v>0</v>
      </c>
      <c r="H135" s="67"/>
      <c r="I135" s="67"/>
      <c r="J135" s="67"/>
    </row>
    <row r="136" spans="1:10" ht="15.75" thickBot="1">
      <c r="A136" s="10" t="s">
        <v>222</v>
      </c>
      <c r="B136" s="72" t="s">
        <v>223</v>
      </c>
      <c r="C136" s="23">
        <f aca="true" t="shared" si="19" ref="C136:J136">C137+C138+C139+C140</f>
        <v>26612</v>
      </c>
      <c r="D136" s="23">
        <f t="shared" si="19"/>
        <v>26612</v>
      </c>
      <c r="E136" s="23">
        <f t="shared" si="19"/>
        <v>0</v>
      </c>
      <c r="F136" s="23">
        <f t="shared" si="19"/>
        <v>0</v>
      </c>
      <c r="G136" s="23">
        <f t="shared" si="19"/>
        <v>29028</v>
      </c>
      <c r="H136" s="23">
        <f t="shared" si="19"/>
        <v>29028</v>
      </c>
      <c r="I136" s="23">
        <f t="shared" si="19"/>
        <v>0</v>
      </c>
      <c r="J136" s="23">
        <f t="shared" si="19"/>
        <v>0</v>
      </c>
    </row>
    <row r="137" spans="1:10" ht="15">
      <c r="A137" s="13" t="s">
        <v>95</v>
      </c>
      <c r="B137" s="73" t="s">
        <v>224</v>
      </c>
      <c r="C137" s="15">
        <v>26612</v>
      </c>
      <c r="D137" s="67">
        <v>26612</v>
      </c>
      <c r="E137" s="67"/>
      <c r="F137" s="67"/>
      <c r="G137" s="15">
        <v>27441</v>
      </c>
      <c r="H137" s="67">
        <v>27441</v>
      </c>
      <c r="I137" s="67"/>
      <c r="J137" s="67"/>
    </row>
    <row r="138" spans="1:10" ht="15">
      <c r="A138" s="13" t="s">
        <v>97</v>
      </c>
      <c r="B138" s="73" t="s">
        <v>225</v>
      </c>
      <c r="C138" s="15">
        <f>D138+E138+F138</f>
        <v>0</v>
      </c>
      <c r="D138" s="67"/>
      <c r="E138" s="67"/>
      <c r="F138" s="67"/>
      <c r="G138" s="15">
        <f>H138+I138+J138</f>
        <v>1587</v>
      </c>
      <c r="H138" s="67">
        <v>1587</v>
      </c>
      <c r="I138" s="67"/>
      <c r="J138" s="67"/>
    </row>
    <row r="139" spans="1:10" ht="15">
      <c r="A139" s="13" t="s">
        <v>99</v>
      </c>
      <c r="B139" s="73" t="s">
        <v>226</v>
      </c>
      <c r="C139" s="15">
        <f>D139+E139+F139</f>
        <v>0</v>
      </c>
      <c r="D139" s="67"/>
      <c r="E139" s="67"/>
      <c r="F139" s="67"/>
      <c r="G139" s="15">
        <f>H139+I139+J139</f>
        <v>0</v>
      </c>
      <c r="H139" s="67"/>
      <c r="I139" s="67"/>
      <c r="J139" s="67"/>
    </row>
    <row r="140" spans="1:10" ht="15.75" thickBot="1">
      <c r="A140" s="60" t="s">
        <v>101</v>
      </c>
      <c r="B140" s="77" t="s">
        <v>227</v>
      </c>
      <c r="C140" s="15">
        <f>D140+E140+F140</f>
        <v>0</v>
      </c>
      <c r="D140" s="67"/>
      <c r="E140" s="67"/>
      <c r="F140" s="67"/>
      <c r="G140" s="15">
        <f>H140+I140+J140</f>
        <v>0</v>
      </c>
      <c r="H140" s="67"/>
      <c r="I140" s="67"/>
      <c r="J140" s="67"/>
    </row>
    <row r="141" spans="1:10" ht="15.75" thickBot="1">
      <c r="A141" s="10" t="s">
        <v>103</v>
      </c>
      <c r="B141" s="72" t="s">
        <v>228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</row>
    <row r="142" spans="1:10" ht="15">
      <c r="A142" s="13" t="s">
        <v>105</v>
      </c>
      <c r="B142" s="73" t="s">
        <v>229</v>
      </c>
      <c r="C142" s="15">
        <f>D142+E142+F142</f>
        <v>0</v>
      </c>
      <c r="D142" s="67"/>
      <c r="E142" s="67"/>
      <c r="F142" s="67"/>
      <c r="G142" s="15">
        <f>H142+I142+J142</f>
        <v>0</v>
      </c>
      <c r="H142" s="67"/>
      <c r="I142" s="67"/>
      <c r="J142" s="67"/>
    </row>
    <row r="143" spans="1:10" ht="15">
      <c r="A143" s="13" t="s">
        <v>107</v>
      </c>
      <c r="B143" s="73" t="s">
        <v>230</v>
      </c>
      <c r="C143" s="15">
        <f>D143+E143+F143</f>
        <v>0</v>
      </c>
      <c r="D143" s="67"/>
      <c r="E143" s="67"/>
      <c r="F143" s="67"/>
      <c r="G143" s="15">
        <f>H143+I143+J143</f>
        <v>0</v>
      </c>
      <c r="H143" s="67"/>
      <c r="I143" s="67"/>
      <c r="J143" s="67"/>
    </row>
    <row r="144" spans="1:10" ht="15">
      <c r="A144" s="13" t="s">
        <v>109</v>
      </c>
      <c r="B144" s="73" t="s">
        <v>231</v>
      </c>
      <c r="C144" s="15">
        <f>D144+E144+F144</f>
        <v>0</v>
      </c>
      <c r="D144" s="67"/>
      <c r="E144" s="67"/>
      <c r="F144" s="67"/>
      <c r="G144" s="15">
        <f>H144+I144+J144</f>
        <v>0</v>
      </c>
      <c r="H144" s="67"/>
      <c r="I144" s="67"/>
      <c r="J144" s="67"/>
    </row>
    <row r="145" spans="1:10" ht="15.75" thickBot="1">
      <c r="A145" s="13" t="s">
        <v>111</v>
      </c>
      <c r="B145" s="73" t="s">
        <v>232</v>
      </c>
      <c r="C145" s="15">
        <f>D145+E145+F145</f>
        <v>0</v>
      </c>
      <c r="D145" s="67"/>
      <c r="E145" s="67"/>
      <c r="F145" s="67"/>
      <c r="G145" s="15">
        <f>H145+I145+J145</f>
        <v>0</v>
      </c>
      <c r="H145" s="67"/>
      <c r="I145" s="67"/>
      <c r="J145" s="67"/>
    </row>
    <row r="146" spans="1:10" ht="15.75" thickBot="1">
      <c r="A146" s="10" t="s">
        <v>113</v>
      </c>
      <c r="B146" s="72" t="s">
        <v>233</v>
      </c>
      <c r="C146" s="79">
        <f>C141+C136+C131+C127</f>
        <v>26612</v>
      </c>
      <c r="D146" s="79">
        <f>D141+D136+D131+D127</f>
        <v>26612</v>
      </c>
      <c r="E146" s="79">
        <f>E141+E136+E131+E127</f>
        <v>0</v>
      </c>
      <c r="F146" s="79">
        <v>0</v>
      </c>
      <c r="G146" s="79">
        <f>G141+G136+G131+G127</f>
        <v>29193</v>
      </c>
      <c r="H146" s="79">
        <f>H141+H136+H131+H127</f>
        <v>29028</v>
      </c>
      <c r="I146" s="79">
        <f>I141+I136+I131+I127</f>
        <v>0</v>
      </c>
      <c r="J146" s="79">
        <v>0</v>
      </c>
    </row>
    <row r="147" spans="1:10" ht="15.75" thickBot="1">
      <c r="A147" s="80" t="s">
        <v>234</v>
      </c>
      <c r="B147" s="81" t="s">
        <v>235</v>
      </c>
      <c r="C147" s="79">
        <f aca="true" t="shared" si="20" ref="C147:J147">C126+C146</f>
        <v>202032</v>
      </c>
      <c r="D147" s="79">
        <f t="shared" si="20"/>
        <v>140221</v>
      </c>
      <c r="E147" s="79">
        <f t="shared" si="20"/>
        <v>61811</v>
      </c>
      <c r="F147" s="79">
        <f t="shared" si="20"/>
        <v>0</v>
      </c>
      <c r="G147" s="79">
        <f t="shared" si="20"/>
        <v>344076</v>
      </c>
      <c r="H147" s="79">
        <f t="shared" si="20"/>
        <v>210025</v>
      </c>
      <c r="I147" s="79">
        <f t="shared" si="20"/>
        <v>133885</v>
      </c>
      <c r="J147" s="79">
        <f t="shared" si="20"/>
        <v>0</v>
      </c>
    </row>
    <row r="148" spans="1:10" ht="15">
      <c r="A148" s="82"/>
      <c r="B148" s="82"/>
      <c r="C148" s="82"/>
      <c r="D148" s="82"/>
      <c r="E148" s="82"/>
      <c r="F148" s="82"/>
      <c r="G148" s="82"/>
      <c r="H148" s="82"/>
      <c r="I148" s="82"/>
      <c r="J148" s="82"/>
    </row>
    <row r="149" spans="1:10" ht="15.75">
      <c r="A149" s="465" t="s">
        <v>236</v>
      </c>
      <c r="B149" s="465"/>
      <c r="C149" s="465"/>
      <c r="D149" s="82"/>
      <c r="E149" s="82"/>
      <c r="F149" s="82"/>
      <c r="H149" s="82"/>
      <c r="I149" s="82"/>
      <c r="J149" s="82"/>
    </row>
    <row r="150" spans="1:10" ht="15.75" thickBot="1">
      <c r="A150" s="463" t="s">
        <v>237</v>
      </c>
      <c r="B150" s="463"/>
      <c r="C150" s="3" t="s">
        <v>1</v>
      </c>
      <c r="D150" s="3" t="s">
        <v>1</v>
      </c>
      <c r="E150" s="3" t="s">
        <v>1</v>
      </c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</row>
    <row r="151" spans="1:10" ht="21.75" thickBot="1">
      <c r="A151" s="10">
        <v>1</v>
      </c>
      <c r="B151" s="65" t="s">
        <v>238</v>
      </c>
      <c r="C151" s="12">
        <f>C60-C126</f>
        <v>-1573</v>
      </c>
      <c r="D151" s="12">
        <v>0</v>
      </c>
      <c r="E151" s="12">
        <v>0</v>
      </c>
      <c r="F151" s="12">
        <v>0</v>
      </c>
      <c r="G151" s="12">
        <f>G60-G126</f>
        <v>-18096</v>
      </c>
      <c r="H151" s="12">
        <v>0</v>
      </c>
      <c r="I151" s="12">
        <v>0</v>
      </c>
      <c r="J151" s="12">
        <v>0</v>
      </c>
    </row>
    <row r="152" spans="1:10" ht="32.25" thickBot="1">
      <c r="A152" s="10" t="s">
        <v>17</v>
      </c>
      <c r="B152" s="65" t="s">
        <v>239</v>
      </c>
      <c r="C152" s="12">
        <f>C83-C146</f>
        <v>1573</v>
      </c>
      <c r="D152" s="12">
        <v>0</v>
      </c>
      <c r="E152" s="12">
        <v>0</v>
      </c>
      <c r="F152" s="12">
        <v>0</v>
      </c>
      <c r="G152" s="12">
        <f>G83-G146</f>
        <v>18096</v>
      </c>
      <c r="H152" s="12">
        <v>0</v>
      </c>
      <c r="I152" s="12">
        <v>0</v>
      </c>
      <c r="J152" s="12">
        <v>0</v>
      </c>
    </row>
  </sheetData>
  <sheetProtection/>
  <mergeCells count="10">
    <mergeCell ref="A150:B150"/>
    <mergeCell ref="C3:F3"/>
    <mergeCell ref="A88:F88"/>
    <mergeCell ref="C90:F90"/>
    <mergeCell ref="G3:J3"/>
    <mergeCell ref="G90:J90"/>
    <mergeCell ref="A1:F1"/>
    <mergeCell ref="A2:B2"/>
    <mergeCell ref="A89:B89"/>
    <mergeCell ref="A149:C149"/>
  </mergeCells>
  <printOptions/>
  <pageMargins left="0.31496062992125984" right="0.31496062992125984" top="0.8661417322834646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2015. évi költségvetésének összevont mérlege&amp;R&amp;"-,Dőlt"&amp;8 1. melléklet a 9/2016.(V.24.)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view="pageLayout" workbookViewId="0" topLeftCell="A1">
      <selection activeCell="B1" sqref="B1:D1"/>
    </sheetView>
  </sheetViews>
  <sheetFormatPr defaultColWidth="9.140625" defaultRowHeight="15"/>
  <cols>
    <col min="1" max="1" width="5.00390625" style="397" customWidth="1"/>
    <col min="2" max="2" width="47.00390625" style="98" customWidth="1"/>
    <col min="3" max="4" width="15.140625" style="98" customWidth="1"/>
    <col min="5" max="16384" width="9.140625" style="98" customWidth="1"/>
  </cols>
  <sheetData>
    <row r="1" spans="2:4" ht="31.5" customHeight="1">
      <c r="B1" s="492"/>
      <c r="C1" s="492"/>
      <c r="D1" s="492"/>
    </row>
    <row r="2" spans="1:5" s="400" customFormat="1" ht="16.5" thickBot="1">
      <c r="A2" s="399"/>
      <c r="B2" s="398"/>
      <c r="D2" s="401" t="s">
        <v>249</v>
      </c>
      <c r="E2" s="401"/>
    </row>
    <row r="3" spans="1:4" s="405" customFormat="1" ht="48" customHeight="1" thickBot="1">
      <c r="A3" s="402" t="s">
        <v>262</v>
      </c>
      <c r="B3" s="403" t="s">
        <v>3</v>
      </c>
      <c r="C3" s="403" t="s">
        <v>376</v>
      </c>
      <c r="D3" s="404" t="s">
        <v>377</v>
      </c>
    </row>
    <row r="4" spans="1:4" s="405" customFormat="1" ht="13.5" customHeight="1" thickBot="1">
      <c r="A4" s="406" t="s">
        <v>240</v>
      </c>
      <c r="B4" s="100" t="s">
        <v>241</v>
      </c>
      <c r="C4" s="100" t="s">
        <v>242</v>
      </c>
      <c r="D4" s="101" t="s">
        <v>250</v>
      </c>
    </row>
    <row r="5" spans="1:4" ht="18" customHeight="1">
      <c r="A5" s="407" t="s">
        <v>4</v>
      </c>
      <c r="B5" s="408" t="s">
        <v>378</v>
      </c>
      <c r="C5" s="253"/>
      <c r="D5" s="248"/>
    </row>
    <row r="6" spans="1:4" ht="18" customHeight="1">
      <c r="A6" s="409" t="s">
        <v>17</v>
      </c>
      <c r="B6" s="410" t="s">
        <v>379</v>
      </c>
      <c r="C6" s="223"/>
      <c r="D6" s="224"/>
    </row>
    <row r="7" spans="1:4" ht="18" customHeight="1">
      <c r="A7" s="409" t="s">
        <v>31</v>
      </c>
      <c r="B7" s="410" t="s">
        <v>380</v>
      </c>
      <c r="C7" s="223"/>
      <c r="D7" s="224"/>
    </row>
    <row r="8" spans="1:4" ht="18" customHeight="1">
      <c r="A8" s="409" t="s">
        <v>211</v>
      </c>
      <c r="B8" s="410" t="s">
        <v>381</v>
      </c>
      <c r="C8" s="223"/>
      <c r="D8" s="224"/>
    </row>
    <row r="9" spans="1:4" ht="18" customHeight="1">
      <c r="A9" s="409" t="s">
        <v>59</v>
      </c>
      <c r="B9" s="410" t="s">
        <v>382</v>
      </c>
      <c r="C9" s="223"/>
      <c r="D9" s="224"/>
    </row>
    <row r="10" spans="1:4" ht="18" customHeight="1">
      <c r="A10" s="409" t="s">
        <v>81</v>
      </c>
      <c r="B10" s="410" t="s">
        <v>383</v>
      </c>
      <c r="C10" s="223"/>
      <c r="D10" s="224"/>
    </row>
    <row r="11" spans="1:4" ht="18" customHeight="1">
      <c r="A11" s="409" t="s">
        <v>222</v>
      </c>
      <c r="B11" s="411" t="s">
        <v>384</v>
      </c>
      <c r="C11" s="223"/>
      <c r="D11" s="224"/>
    </row>
    <row r="12" spans="1:4" ht="18" customHeight="1">
      <c r="A12" s="409" t="s">
        <v>113</v>
      </c>
      <c r="B12" s="411" t="s">
        <v>385</v>
      </c>
      <c r="C12" s="223">
        <v>2000</v>
      </c>
      <c r="D12" s="224">
        <v>400</v>
      </c>
    </row>
    <row r="13" spans="1:4" ht="18" customHeight="1">
      <c r="A13" s="409" t="s">
        <v>234</v>
      </c>
      <c r="B13" s="411" t="s">
        <v>386</v>
      </c>
      <c r="C13" s="223"/>
      <c r="D13" s="224"/>
    </row>
    <row r="14" spans="1:4" ht="18" customHeight="1">
      <c r="A14" s="409" t="s">
        <v>279</v>
      </c>
      <c r="B14" s="411" t="s">
        <v>387</v>
      </c>
      <c r="C14" s="223"/>
      <c r="D14" s="224"/>
    </row>
    <row r="15" spans="1:4" ht="22.5" customHeight="1">
      <c r="A15" s="409" t="s">
        <v>280</v>
      </c>
      <c r="B15" s="411" t="s">
        <v>388</v>
      </c>
      <c r="C15" s="223"/>
      <c r="D15" s="224"/>
    </row>
    <row r="16" spans="1:4" ht="18" customHeight="1">
      <c r="A16" s="409" t="s">
        <v>281</v>
      </c>
      <c r="B16" s="410" t="s">
        <v>389</v>
      </c>
      <c r="C16" s="223"/>
      <c r="D16" s="224"/>
    </row>
    <row r="17" spans="1:4" ht="18" customHeight="1">
      <c r="A17" s="409" t="s">
        <v>284</v>
      </c>
      <c r="B17" s="410" t="s">
        <v>390</v>
      </c>
      <c r="C17" s="223"/>
      <c r="D17" s="224"/>
    </row>
    <row r="18" spans="1:4" ht="18" customHeight="1">
      <c r="A18" s="409" t="s">
        <v>287</v>
      </c>
      <c r="B18" s="410" t="s">
        <v>391</v>
      </c>
      <c r="C18" s="223"/>
      <c r="D18" s="224"/>
    </row>
    <row r="19" spans="1:4" ht="18" customHeight="1">
      <c r="A19" s="409" t="s">
        <v>290</v>
      </c>
      <c r="B19" s="410" t="s">
        <v>392</v>
      </c>
      <c r="C19" s="223"/>
      <c r="D19" s="224"/>
    </row>
    <row r="20" spans="1:4" ht="18" customHeight="1">
      <c r="A20" s="409" t="s">
        <v>293</v>
      </c>
      <c r="B20" s="410" t="s">
        <v>393</v>
      </c>
      <c r="C20" s="223"/>
      <c r="D20" s="224"/>
    </row>
    <row r="21" spans="1:4" ht="18" customHeight="1">
      <c r="A21" s="409" t="s">
        <v>296</v>
      </c>
      <c r="B21" s="412"/>
      <c r="C21" s="222"/>
      <c r="D21" s="224"/>
    </row>
    <row r="22" spans="1:4" ht="18" customHeight="1">
      <c r="A22" s="409" t="s">
        <v>299</v>
      </c>
      <c r="B22" s="413"/>
      <c r="C22" s="222"/>
      <c r="D22" s="224"/>
    </row>
    <row r="23" spans="1:4" ht="18" customHeight="1">
      <c r="A23" s="409" t="s">
        <v>302</v>
      </c>
      <c r="B23" s="413"/>
      <c r="C23" s="222"/>
      <c r="D23" s="224"/>
    </row>
    <row r="24" spans="1:4" ht="18" customHeight="1">
      <c r="A24" s="409" t="s">
        <v>305</v>
      </c>
      <c r="B24" s="413"/>
      <c r="C24" s="222"/>
      <c r="D24" s="224"/>
    </row>
    <row r="25" spans="1:4" ht="18" customHeight="1">
      <c r="A25" s="409" t="s">
        <v>307</v>
      </c>
      <c r="B25" s="413"/>
      <c r="C25" s="222"/>
      <c r="D25" s="224"/>
    </row>
    <row r="26" spans="1:4" ht="18" customHeight="1">
      <c r="A26" s="409" t="s">
        <v>310</v>
      </c>
      <c r="B26" s="413"/>
      <c r="C26" s="222"/>
      <c r="D26" s="224"/>
    </row>
    <row r="27" spans="1:4" ht="18" customHeight="1">
      <c r="A27" s="409" t="s">
        <v>313</v>
      </c>
      <c r="B27" s="413"/>
      <c r="C27" s="222"/>
      <c r="D27" s="224"/>
    </row>
    <row r="28" spans="1:4" ht="18" customHeight="1">
      <c r="A28" s="409" t="s">
        <v>316</v>
      </c>
      <c r="B28" s="413"/>
      <c r="C28" s="222"/>
      <c r="D28" s="224"/>
    </row>
    <row r="29" spans="1:4" ht="18" customHeight="1" thickBot="1">
      <c r="A29" s="414" t="s">
        <v>346</v>
      </c>
      <c r="B29" s="415"/>
      <c r="C29" s="416"/>
      <c r="D29" s="417"/>
    </row>
    <row r="30" spans="1:4" ht="18" customHeight="1" thickBot="1">
      <c r="A30" s="418" t="s">
        <v>349</v>
      </c>
      <c r="B30" s="419" t="s">
        <v>245</v>
      </c>
      <c r="C30" s="420">
        <f>+C5+C6+C7+C8+C9+C16+C17+C18+C19+C20+C21+C22+C23+C24+C25+C26+C27+C28+C29</f>
        <v>0</v>
      </c>
      <c r="D30" s="421">
        <f>+D5+D6+D7+D8+D9+D16+D17+D18+D19+D20+D21+D22+D23+D24+D25+D26+D27+D28+D29</f>
        <v>0</v>
      </c>
    </row>
    <row r="31" spans="1:4" ht="8.25" customHeight="1">
      <c r="A31" s="422"/>
      <c r="B31" s="493"/>
      <c r="C31" s="493"/>
      <c r="D31" s="493"/>
    </row>
  </sheetData>
  <sheetProtection/>
  <mergeCells count="2">
    <mergeCell ref="B1:D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&amp;C&amp;"-,Félkövér"&amp;9Tiszagyulaháza község által adott közvetett támogatások bemutatása&amp;R&amp;"-,Dőlt"&amp;8
 10.melléklet a 9/2016.(V.24.)Önkormányzati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Layout" workbookViewId="0" topLeftCell="A1">
      <selection activeCell="A1" sqref="A1:O1"/>
    </sheetView>
  </sheetViews>
  <sheetFormatPr defaultColWidth="9.140625" defaultRowHeight="15"/>
  <cols>
    <col min="1" max="1" width="5.421875" style="424" customWidth="1"/>
    <col min="2" max="2" width="26.7109375" style="423" customWidth="1"/>
    <col min="3" max="4" width="7.7109375" style="423" customWidth="1"/>
    <col min="5" max="5" width="8.140625" style="423" customWidth="1"/>
    <col min="6" max="6" width="7.57421875" style="423" customWidth="1"/>
    <col min="7" max="7" width="7.421875" style="423" customWidth="1"/>
    <col min="8" max="8" width="7.57421875" style="423" customWidth="1"/>
    <col min="9" max="9" width="7.00390625" style="423" customWidth="1"/>
    <col min="10" max="14" width="8.140625" style="423" customWidth="1"/>
    <col min="15" max="15" width="10.8515625" style="424" customWidth="1"/>
    <col min="16" max="16384" width="9.140625" style="423" customWidth="1"/>
  </cols>
  <sheetData>
    <row r="1" spans="1:15" ht="31.5" customHeight="1">
      <c r="A1" s="494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</row>
    <row r="2" spans="15:16" ht="12" customHeight="1" thickBot="1">
      <c r="O2" s="401" t="s">
        <v>249</v>
      </c>
      <c r="P2" s="401"/>
    </row>
    <row r="3" spans="1:15" s="424" customFormat="1" ht="29.25" customHeight="1" thickBot="1">
      <c r="A3" s="425" t="s">
        <v>262</v>
      </c>
      <c r="B3" s="426" t="s">
        <v>269</v>
      </c>
      <c r="C3" s="426" t="s">
        <v>394</v>
      </c>
      <c r="D3" s="426" t="s">
        <v>395</v>
      </c>
      <c r="E3" s="426" t="s">
        <v>396</v>
      </c>
      <c r="F3" s="426" t="s">
        <v>397</v>
      </c>
      <c r="G3" s="426" t="s">
        <v>398</v>
      </c>
      <c r="H3" s="426" t="s">
        <v>399</v>
      </c>
      <c r="I3" s="426" t="s">
        <v>400</v>
      </c>
      <c r="J3" s="426" t="s">
        <v>401</v>
      </c>
      <c r="K3" s="426" t="s">
        <v>402</v>
      </c>
      <c r="L3" s="426" t="s">
        <v>403</v>
      </c>
      <c r="M3" s="426" t="s">
        <v>404</v>
      </c>
      <c r="N3" s="426" t="s">
        <v>405</v>
      </c>
      <c r="O3" s="427" t="s">
        <v>245</v>
      </c>
    </row>
    <row r="4" spans="1:15" s="424" customFormat="1" ht="29.25" customHeight="1" thickBot="1">
      <c r="A4" s="428" t="s">
        <v>240</v>
      </c>
      <c r="B4" s="429" t="s">
        <v>241</v>
      </c>
      <c r="C4" s="430" t="s">
        <v>242</v>
      </c>
      <c r="D4" s="430" t="s">
        <v>250</v>
      </c>
      <c r="E4" s="430" t="s">
        <v>251</v>
      </c>
      <c r="F4" s="430" t="s">
        <v>252</v>
      </c>
      <c r="G4" s="430" t="s">
        <v>375</v>
      </c>
      <c r="H4" s="430" t="s">
        <v>417</v>
      </c>
      <c r="I4" s="430" t="s">
        <v>418</v>
      </c>
      <c r="J4" s="430" t="s">
        <v>419</v>
      </c>
      <c r="K4" s="430" t="s">
        <v>420</v>
      </c>
      <c r="L4" s="430" t="s">
        <v>421</v>
      </c>
      <c r="M4" s="430" t="s">
        <v>422</v>
      </c>
      <c r="N4" s="430" t="s">
        <v>423</v>
      </c>
      <c r="O4" s="431" t="s">
        <v>424</v>
      </c>
    </row>
    <row r="5" spans="1:15" s="433" customFormat="1" ht="15" customHeight="1" thickBot="1">
      <c r="A5" s="432" t="s">
        <v>4</v>
      </c>
      <c r="B5" s="496" t="s">
        <v>254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8"/>
    </row>
    <row r="6" spans="1:15" s="433" customFormat="1" ht="22.5">
      <c r="A6" s="434" t="s">
        <v>17</v>
      </c>
      <c r="B6" s="435" t="s">
        <v>270</v>
      </c>
      <c r="C6" s="436">
        <f>53606/12</f>
        <v>4467.166666666667</v>
      </c>
      <c r="D6" s="436">
        <v>4467</v>
      </c>
      <c r="E6" s="436">
        <v>4467</v>
      </c>
      <c r="F6" s="436">
        <v>4467</v>
      </c>
      <c r="G6" s="436">
        <v>4467</v>
      </c>
      <c r="H6" s="436">
        <v>4467</v>
      </c>
      <c r="I6" s="436">
        <v>4467</v>
      </c>
      <c r="J6" s="436">
        <v>4467</v>
      </c>
      <c r="K6" s="436">
        <v>4467</v>
      </c>
      <c r="L6" s="436">
        <v>4467</v>
      </c>
      <c r="M6" s="436">
        <v>4467</v>
      </c>
      <c r="N6" s="436">
        <v>4469</v>
      </c>
      <c r="O6" s="437">
        <f>SUM(C6:N6)</f>
        <v>53606.16666666667</v>
      </c>
    </row>
    <row r="7" spans="1:15" s="442" customFormat="1" ht="22.5">
      <c r="A7" s="438" t="s">
        <v>31</v>
      </c>
      <c r="B7" s="439" t="s">
        <v>406</v>
      </c>
      <c r="C7" s="440">
        <v>14000</v>
      </c>
      <c r="D7" s="440">
        <f>21671-14000</f>
        <v>7671</v>
      </c>
      <c r="E7" s="440">
        <f>(73582-21671)/10</f>
        <v>5191.1</v>
      </c>
      <c r="F7" s="440">
        <f aca="true" t="shared" si="0" ref="F7:M7">(73582-21671)/10</f>
        <v>5191.1</v>
      </c>
      <c r="G7" s="440">
        <f t="shared" si="0"/>
        <v>5191.1</v>
      </c>
      <c r="H7" s="440">
        <f t="shared" si="0"/>
        <v>5191.1</v>
      </c>
      <c r="I7" s="440">
        <f t="shared" si="0"/>
        <v>5191.1</v>
      </c>
      <c r="J7" s="440">
        <f t="shared" si="0"/>
        <v>5191.1</v>
      </c>
      <c r="K7" s="440">
        <f t="shared" si="0"/>
        <v>5191.1</v>
      </c>
      <c r="L7" s="440">
        <f t="shared" si="0"/>
        <v>5191.1</v>
      </c>
      <c r="M7" s="440">
        <f t="shared" si="0"/>
        <v>5191.1</v>
      </c>
      <c r="N7" s="440">
        <f>75000-68391</f>
        <v>6609</v>
      </c>
      <c r="O7" s="441">
        <f aca="true" t="shared" si="1" ref="O7:O26">SUM(C7:N7)</f>
        <v>74999.9</v>
      </c>
    </row>
    <row r="8" spans="1:15" s="442" customFormat="1" ht="22.5">
      <c r="A8" s="438" t="s">
        <v>211</v>
      </c>
      <c r="B8" s="443" t="s">
        <v>407</v>
      </c>
      <c r="C8" s="444"/>
      <c r="D8" s="440"/>
      <c r="E8" s="440">
        <v>52096</v>
      </c>
      <c r="F8" s="440"/>
      <c r="G8" s="440"/>
      <c r="H8" s="440">
        <v>10357</v>
      </c>
      <c r="I8" s="444"/>
      <c r="J8" s="444"/>
      <c r="K8" s="444">
        <f>30000-7999</f>
        <v>22001</v>
      </c>
      <c r="L8" s="444">
        <v>7999</v>
      </c>
      <c r="M8" s="444">
        <f>100457-92453</f>
        <v>8004</v>
      </c>
      <c r="N8" s="444"/>
      <c r="O8" s="445">
        <f t="shared" si="1"/>
        <v>100457</v>
      </c>
    </row>
    <row r="9" spans="1:15" s="442" customFormat="1" ht="13.5" customHeight="1">
      <c r="A9" s="438" t="s">
        <v>59</v>
      </c>
      <c r="B9" s="446" t="s">
        <v>275</v>
      </c>
      <c r="C9" s="440">
        <f>3590/10</f>
        <v>359</v>
      </c>
      <c r="D9" s="440">
        <f>3590/10</f>
        <v>359</v>
      </c>
      <c r="E9" s="440">
        <v>4000</v>
      </c>
      <c r="F9" s="440">
        <f>3590/10</f>
        <v>359</v>
      </c>
      <c r="G9" s="440">
        <v>1200</v>
      </c>
      <c r="H9" s="440">
        <f>14050-12913</f>
        <v>1137</v>
      </c>
      <c r="I9" s="440">
        <f>3590/10</f>
        <v>359</v>
      </c>
      <c r="J9" s="440">
        <f>3590/10-49</f>
        <v>310</v>
      </c>
      <c r="K9" s="440">
        <v>4000</v>
      </c>
      <c r="L9" s="440">
        <v>1200</v>
      </c>
      <c r="M9" s="440">
        <f>3590/10</f>
        <v>359</v>
      </c>
      <c r="N9" s="440">
        <f>3590/10</f>
        <v>359</v>
      </c>
      <c r="O9" s="441">
        <f t="shared" si="1"/>
        <v>14001</v>
      </c>
    </row>
    <row r="10" spans="1:15" s="442" customFormat="1" ht="13.5" customHeight="1">
      <c r="A10" s="438" t="s">
        <v>81</v>
      </c>
      <c r="B10" s="446" t="s">
        <v>408</v>
      </c>
      <c r="C10" s="440">
        <f>15390/12</f>
        <v>1282.5</v>
      </c>
      <c r="D10" s="440">
        <f aca="true" t="shared" si="2" ref="D10:M10">15390/12</f>
        <v>1282.5</v>
      </c>
      <c r="E10" s="440">
        <f t="shared" si="2"/>
        <v>1282.5</v>
      </c>
      <c r="F10" s="440">
        <f t="shared" si="2"/>
        <v>1282.5</v>
      </c>
      <c r="G10" s="440">
        <f t="shared" si="2"/>
        <v>1282.5</v>
      </c>
      <c r="H10" s="440">
        <f>39713-24156</f>
        <v>15557</v>
      </c>
      <c r="I10" s="440">
        <f>15390/12+10048+998</f>
        <v>12328.5</v>
      </c>
      <c r="J10" s="440">
        <f t="shared" si="2"/>
        <v>1282.5</v>
      </c>
      <c r="K10" s="440">
        <f t="shared" si="2"/>
        <v>1282.5</v>
      </c>
      <c r="L10" s="440">
        <f t="shared" si="2"/>
        <v>1282.5</v>
      </c>
      <c r="M10" s="440">
        <f t="shared" si="2"/>
        <v>1282.5</v>
      </c>
      <c r="N10" s="440">
        <v>1285</v>
      </c>
      <c r="O10" s="441">
        <f t="shared" si="1"/>
        <v>40713</v>
      </c>
    </row>
    <row r="11" spans="1:15" s="442" customFormat="1" ht="13.5" customHeight="1">
      <c r="A11" s="438" t="s">
        <v>222</v>
      </c>
      <c r="B11" s="446" t="s">
        <v>322</v>
      </c>
      <c r="C11" s="440"/>
      <c r="D11" s="440"/>
      <c r="E11" s="440"/>
      <c r="F11" s="440"/>
      <c r="G11" s="440"/>
      <c r="H11" s="440"/>
      <c r="I11" s="440">
        <v>1900</v>
      </c>
      <c r="J11" s="440"/>
      <c r="K11" s="440"/>
      <c r="L11" s="440"/>
      <c r="M11" s="440"/>
      <c r="N11" s="440"/>
      <c r="O11" s="441">
        <f t="shared" si="1"/>
        <v>1900</v>
      </c>
    </row>
    <row r="12" spans="1:15" s="442" customFormat="1" ht="13.5" customHeight="1">
      <c r="A12" s="438" t="s">
        <v>103</v>
      </c>
      <c r="B12" s="446" t="s">
        <v>276</v>
      </c>
      <c r="C12" s="440">
        <v>4</v>
      </c>
      <c r="D12" s="440">
        <v>4</v>
      </c>
      <c r="E12" s="440">
        <v>4</v>
      </c>
      <c r="F12" s="440"/>
      <c r="G12" s="440">
        <v>4</v>
      </c>
      <c r="H12" s="440">
        <v>4</v>
      </c>
      <c r="I12" s="440">
        <v>4</v>
      </c>
      <c r="J12" s="440"/>
      <c r="K12" s="440">
        <f>11110-11024</f>
        <v>86</v>
      </c>
      <c r="L12" s="440"/>
      <c r="M12" s="440"/>
      <c r="N12" s="440">
        <v>11000</v>
      </c>
      <c r="O12" s="441">
        <f t="shared" si="1"/>
        <v>11110</v>
      </c>
    </row>
    <row r="13" spans="1:15" s="442" customFormat="1" ht="23.25" thickBot="1">
      <c r="A13" s="438" t="s">
        <v>113</v>
      </c>
      <c r="B13" s="439" t="s">
        <v>409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1">
        <f t="shared" si="1"/>
        <v>0</v>
      </c>
    </row>
    <row r="14" spans="1:15" s="442" customFormat="1" ht="13.5" customHeight="1" thickBot="1">
      <c r="A14" s="438" t="s">
        <v>234</v>
      </c>
      <c r="B14" s="446" t="s">
        <v>410</v>
      </c>
      <c r="C14" s="447">
        <f>37385/12</f>
        <v>3115.4166666666665</v>
      </c>
      <c r="D14" s="447">
        <v>3115</v>
      </c>
      <c r="E14" s="447">
        <v>3115</v>
      </c>
      <c r="F14" s="447">
        <v>3115</v>
      </c>
      <c r="G14" s="447">
        <v>3115</v>
      </c>
      <c r="H14" s="447">
        <v>3115</v>
      </c>
      <c r="I14" s="447">
        <v>3115</v>
      </c>
      <c r="J14" s="447">
        <v>3115</v>
      </c>
      <c r="K14" s="447">
        <v>3115</v>
      </c>
      <c r="L14" s="447">
        <v>3115</v>
      </c>
      <c r="M14" s="447">
        <f>3115+9904</f>
        <v>13019</v>
      </c>
      <c r="N14" s="447">
        <v>3120</v>
      </c>
      <c r="O14" s="441">
        <f>SUM(C14:N14)</f>
        <v>47289.416666666664</v>
      </c>
    </row>
    <row r="15" spans="1:15" s="433" customFormat="1" ht="15.75" customHeight="1" thickBot="1">
      <c r="A15" s="432" t="s">
        <v>279</v>
      </c>
      <c r="B15" s="448" t="s">
        <v>411</v>
      </c>
      <c r="C15" s="449">
        <f>SUM(C6:C14)</f>
        <v>23228.083333333336</v>
      </c>
      <c r="D15" s="449">
        <f aca="true" t="shared" si="3" ref="D15:M15">SUM(D6:D14)</f>
        <v>16898.5</v>
      </c>
      <c r="E15" s="449">
        <f t="shared" si="3"/>
        <v>70155.6</v>
      </c>
      <c r="F15" s="449">
        <f t="shared" si="3"/>
        <v>14414.6</v>
      </c>
      <c r="G15" s="449">
        <f t="shared" si="3"/>
        <v>15259.6</v>
      </c>
      <c r="H15" s="449">
        <f t="shared" si="3"/>
        <v>39828.1</v>
      </c>
      <c r="I15" s="449">
        <f t="shared" si="3"/>
        <v>27364.6</v>
      </c>
      <c r="J15" s="449">
        <f t="shared" si="3"/>
        <v>14365.6</v>
      </c>
      <c r="K15" s="449">
        <f t="shared" si="3"/>
        <v>40142.6</v>
      </c>
      <c r="L15" s="449">
        <f>SUM(L6:L14)</f>
        <v>23254.6</v>
      </c>
      <c r="M15" s="449">
        <f t="shared" si="3"/>
        <v>32322.6</v>
      </c>
      <c r="N15" s="449">
        <f>SUM(N6:N14)</f>
        <v>26842</v>
      </c>
      <c r="O15" s="450">
        <f>SUM(C15:N15)</f>
        <v>344076.48333333334</v>
      </c>
    </row>
    <row r="16" spans="1:15" s="433" customFormat="1" ht="15" customHeight="1" thickBot="1">
      <c r="A16" s="432" t="s">
        <v>280</v>
      </c>
      <c r="B16" s="499" t="s">
        <v>257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1"/>
    </row>
    <row r="17" spans="1:15" s="442" customFormat="1" ht="13.5" customHeight="1">
      <c r="A17" s="451" t="s">
        <v>281</v>
      </c>
      <c r="B17" s="452" t="s">
        <v>271</v>
      </c>
      <c r="C17" s="444">
        <f>27376/12+3073</f>
        <v>5354.333333333334</v>
      </c>
      <c r="D17" s="444">
        <f>27376/12+3073+1</f>
        <v>5355.333333333334</v>
      </c>
      <c r="E17" s="444">
        <f>27376/12+3073</f>
        <v>5354.333333333334</v>
      </c>
      <c r="F17" s="444">
        <f>(75981-16064)/9</f>
        <v>6657.444444444444</v>
      </c>
      <c r="G17" s="444">
        <f aca="true" t="shared" si="4" ref="G17:N17">(75981-16064)/9</f>
        <v>6657.444444444444</v>
      </c>
      <c r="H17" s="444">
        <f t="shared" si="4"/>
        <v>6657.444444444444</v>
      </c>
      <c r="I17" s="444">
        <f t="shared" si="4"/>
        <v>6657.444444444444</v>
      </c>
      <c r="J17" s="444">
        <f t="shared" si="4"/>
        <v>6657.444444444444</v>
      </c>
      <c r="K17" s="444">
        <f t="shared" si="4"/>
        <v>6657.444444444444</v>
      </c>
      <c r="L17" s="444">
        <f t="shared" si="4"/>
        <v>6657.444444444444</v>
      </c>
      <c r="M17" s="444">
        <f t="shared" si="4"/>
        <v>6657.444444444444</v>
      </c>
      <c r="N17" s="444">
        <f t="shared" si="4"/>
        <v>6657.444444444444</v>
      </c>
      <c r="O17" s="445">
        <f t="shared" si="1"/>
        <v>75981</v>
      </c>
    </row>
    <row r="18" spans="1:15" s="442" customFormat="1" ht="27" customHeight="1">
      <c r="A18" s="438" t="s">
        <v>284</v>
      </c>
      <c r="B18" s="439" t="s">
        <v>166</v>
      </c>
      <c r="C18" s="440">
        <f>7360/12+415</f>
        <v>1028.3333333333335</v>
      </c>
      <c r="D18" s="440">
        <f>7360/12+415</f>
        <v>1028.3333333333335</v>
      </c>
      <c r="E18" s="440">
        <f>7360/12+415</f>
        <v>1028.3333333333335</v>
      </c>
      <c r="F18" s="440">
        <f>(14106-3085)/9</f>
        <v>1224.5555555555557</v>
      </c>
      <c r="G18" s="440">
        <f aca="true" t="shared" si="5" ref="G18:M18">(14106-3085)/9</f>
        <v>1224.5555555555557</v>
      </c>
      <c r="H18" s="440">
        <f t="shared" si="5"/>
        <v>1224.5555555555557</v>
      </c>
      <c r="I18" s="440">
        <f t="shared" si="5"/>
        <v>1224.5555555555557</v>
      </c>
      <c r="J18" s="440">
        <f t="shared" si="5"/>
        <v>1224.5555555555557</v>
      </c>
      <c r="K18" s="440">
        <f t="shared" si="5"/>
        <v>1224.5555555555557</v>
      </c>
      <c r="L18" s="440">
        <f t="shared" si="5"/>
        <v>1224.5555555555557</v>
      </c>
      <c r="M18" s="440">
        <f t="shared" si="5"/>
        <v>1224.5555555555557</v>
      </c>
      <c r="N18" s="440">
        <f>(14106-3085)/9+1</f>
        <v>1225.5555555555557</v>
      </c>
      <c r="O18" s="441">
        <f t="shared" si="1"/>
        <v>14107</v>
      </c>
    </row>
    <row r="19" spans="1:15" s="442" customFormat="1" ht="13.5" customHeight="1">
      <c r="A19" s="438" t="s">
        <v>287</v>
      </c>
      <c r="B19" s="446" t="s">
        <v>167</v>
      </c>
      <c r="C19" s="440">
        <f>53699/12</f>
        <v>4474.916666666667</v>
      </c>
      <c r="D19" s="440">
        <f aca="true" t="shared" si="6" ref="D19:N19">53699/12</f>
        <v>4474.916666666667</v>
      </c>
      <c r="E19" s="440">
        <f t="shared" si="6"/>
        <v>4474.916666666667</v>
      </c>
      <c r="F19" s="440">
        <f t="shared" si="6"/>
        <v>4474.916666666667</v>
      </c>
      <c r="G19" s="440">
        <f t="shared" si="6"/>
        <v>4474.916666666667</v>
      </c>
      <c r="H19" s="440">
        <f t="shared" si="6"/>
        <v>4474.916666666667</v>
      </c>
      <c r="I19" s="440">
        <f t="shared" si="6"/>
        <v>4474.916666666667</v>
      </c>
      <c r="J19" s="440">
        <f>60374-49224</f>
        <v>11150</v>
      </c>
      <c r="K19" s="440">
        <f t="shared" si="6"/>
        <v>4474.916666666667</v>
      </c>
      <c r="L19" s="440">
        <f>53699/12+4086</f>
        <v>8560.916666666668</v>
      </c>
      <c r="M19" s="440">
        <f t="shared" si="6"/>
        <v>4474.916666666667</v>
      </c>
      <c r="N19" s="440">
        <f t="shared" si="6"/>
        <v>4474.916666666667</v>
      </c>
      <c r="O19" s="441">
        <f t="shared" si="1"/>
        <v>64460.08333333333</v>
      </c>
    </row>
    <row r="20" spans="1:15" s="442" customFormat="1" ht="13.5" customHeight="1">
      <c r="A20" s="438" t="s">
        <v>290</v>
      </c>
      <c r="B20" s="446" t="s">
        <v>168</v>
      </c>
      <c r="C20" s="440">
        <f>4354/12</f>
        <v>362.8333333333333</v>
      </c>
      <c r="D20" s="440">
        <f aca="true" t="shared" si="7" ref="D20:N20">4354/12</f>
        <v>362.8333333333333</v>
      </c>
      <c r="E20" s="440">
        <f t="shared" si="7"/>
        <v>362.8333333333333</v>
      </c>
      <c r="F20" s="440">
        <f t="shared" si="7"/>
        <v>362.8333333333333</v>
      </c>
      <c r="G20" s="440">
        <f t="shared" si="7"/>
        <v>362.8333333333333</v>
      </c>
      <c r="H20" s="440">
        <f t="shared" si="7"/>
        <v>362.8333333333333</v>
      </c>
      <c r="I20" s="440">
        <f t="shared" si="7"/>
        <v>362.8333333333333</v>
      </c>
      <c r="J20" s="440">
        <f t="shared" si="7"/>
        <v>362.8333333333333</v>
      </c>
      <c r="K20" s="440">
        <f t="shared" si="7"/>
        <v>362.8333333333333</v>
      </c>
      <c r="L20" s="440">
        <f t="shared" si="7"/>
        <v>362.8333333333333</v>
      </c>
      <c r="M20" s="440">
        <f t="shared" si="7"/>
        <v>362.8333333333333</v>
      </c>
      <c r="N20" s="440">
        <f t="shared" si="7"/>
        <v>362.8333333333333</v>
      </c>
      <c r="O20" s="441">
        <f t="shared" si="1"/>
        <v>4354.000000000001</v>
      </c>
    </row>
    <row r="21" spans="1:15" s="442" customFormat="1" ht="13.5" customHeight="1">
      <c r="A21" s="438" t="s">
        <v>293</v>
      </c>
      <c r="B21" s="446" t="s">
        <v>412</v>
      </c>
      <c r="C21" s="440">
        <v>5900</v>
      </c>
      <c r="D21" s="440">
        <v>7000</v>
      </c>
      <c r="E21" s="440">
        <f>22617-21604</f>
        <v>1013</v>
      </c>
      <c r="F21" s="440">
        <f>(17939-12900)/10</f>
        <v>503.9</v>
      </c>
      <c r="G21" s="440">
        <v>800</v>
      </c>
      <c r="H21" s="440">
        <v>850</v>
      </c>
      <c r="I21" s="440">
        <v>700</v>
      </c>
      <c r="J21" s="440">
        <v>900</v>
      </c>
      <c r="K21" s="440">
        <v>1100</v>
      </c>
      <c r="L21" s="440">
        <f>1150+7026</f>
        <v>8176</v>
      </c>
      <c r="M21" s="440">
        <v>1200</v>
      </c>
      <c r="N21" s="440">
        <f>30500-21117</f>
        <v>9383</v>
      </c>
      <c r="O21" s="441">
        <f t="shared" si="1"/>
        <v>37525.9</v>
      </c>
    </row>
    <row r="22" spans="1:15" s="442" customFormat="1" ht="13.5" customHeight="1">
      <c r="A22" s="438" t="s">
        <v>296</v>
      </c>
      <c r="B22" s="446" t="s">
        <v>190</v>
      </c>
      <c r="C22" s="440"/>
      <c r="D22" s="440"/>
      <c r="E22" s="440">
        <v>31664</v>
      </c>
      <c r="F22" s="440"/>
      <c r="G22" s="440"/>
      <c r="H22" s="440"/>
      <c r="I22" s="440"/>
      <c r="J22" s="440">
        <f>47439-44774</f>
        <v>2665</v>
      </c>
      <c r="K22" s="440">
        <v>10110</v>
      </c>
      <c r="L22" s="440"/>
      <c r="M22" s="440">
        <v>3000</v>
      </c>
      <c r="N22" s="440">
        <v>19775</v>
      </c>
      <c r="O22" s="441">
        <f t="shared" si="1"/>
        <v>67214</v>
      </c>
    </row>
    <row r="23" spans="1:15" s="442" customFormat="1" ht="15.75">
      <c r="A23" s="438" t="s">
        <v>299</v>
      </c>
      <c r="B23" s="439" t="s">
        <v>192</v>
      </c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>
        <v>21236</v>
      </c>
      <c r="N23" s="440"/>
      <c r="O23" s="441">
        <f t="shared" si="1"/>
        <v>21236</v>
      </c>
    </row>
    <row r="24" spans="1:15" s="442" customFormat="1" ht="13.5" customHeight="1">
      <c r="A24" s="438" t="s">
        <v>302</v>
      </c>
      <c r="B24" s="446" t="s">
        <v>194</v>
      </c>
      <c r="C24" s="440"/>
      <c r="D24" s="440"/>
      <c r="E24" s="440">
        <v>30005</v>
      </c>
      <c r="F24" s="440"/>
      <c r="G24" s="440"/>
      <c r="H24" s="440"/>
      <c r="I24" s="440"/>
      <c r="J24" s="440"/>
      <c r="K24" s="440"/>
      <c r="L24" s="440"/>
      <c r="M24" s="440"/>
      <c r="N24" s="440"/>
      <c r="O24" s="441">
        <f t="shared" si="1"/>
        <v>30005</v>
      </c>
    </row>
    <row r="25" spans="1:15" s="442" customFormat="1" ht="13.5" customHeight="1" thickBot="1">
      <c r="A25" s="438" t="s">
        <v>305</v>
      </c>
      <c r="B25" s="446" t="s">
        <v>413</v>
      </c>
      <c r="C25" s="440">
        <f>(26612+1000)/12</f>
        <v>2301</v>
      </c>
      <c r="D25" s="440">
        <f aca="true" t="shared" si="8" ref="D25:M25">(26612+1000)/12</f>
        <v>2301</v>
      </c>
      <c r="E25" s="440">
        <f t="shared" si="8"/>
        <v>2301</v>
      </c>
      <c r="F25" s="440">
        <f t="shared" si="8"/>
        <v>2301</v>
      </c>
      <c r="G25" s="440">
        <f t="shared" si="8"/>
        <v>2301</v>
      </c>
      <c r="H25" s="440">
        <f t="shared" si="8"/>
        <v>2301</v>
      </c>
      <c r="I25" s="440">
        <f t="shared" si="8"/>
        <v>2301</v>
      </c>
      <c r="J25" s="440">
        <f t="shared" si="8"/>
        <v>2301</v>
      </c>
      <c r="K25" s="440">
        <f t="shared" si="8"/>
        <v>2301</v>
      </c>
      <c r="L25" s="440">
        <f t="shared" si="8"/>
        <v>2301</v>
      </c>
      <c r="M25" s="440">
        <f t="shared" si="8"/>
        <v>2301</v>
      </c>
      <c r="N25" s="440">
        <f>4782-900</f>
        <v>3882</v>
      </c>
      <c r="O25" s="441">
        <f t="shared" si="1"/>
        <v>29193</v>
      </c>
    </row>
    <row r="26" spans="1:15" s="433" customFormat="1" ht="15.75" customHeight="1" thickBot="1">
      <c r="A26" s="453" t="s">
        <v>307</v>
      </c>
      <c r="B26" s="448" t="s">
        <v>414</v>
      </c>
      <c r="C26" s="449">
        <f aca="true" t="shared" si="9" ref="C26:N26">SUM(C17:C25)</f>
        <v>19421.41666666667</v>
      </c>
      <c r="D26" s="449">
        <f t="shared" si="9"/>
        <v>20522.41666666667</v>
      </c>
      <c r="E26" s="449">
        <f t="shared" si="9"/>
        <v>76203.41666666667</v>
      </c>
      <c r="F26" s="449">
        <f t="shared" si="9"/>
        <v>15524.650000000001</v>
      </c>
      <c r="G26" s="449">
        <f t="shared" si="9"/>
        <v>15820.750000000002</v>
      </c>
      <c r="H26" s="449">
        <f t="shared" si="9"/>
        <v>15870.750000000002</v>
      </c>
      <c r="I26" s="449">
        <f t="shared" si="9"/>
        <v>15720.750000000002</v>
      </c>
      <c r="J26" s="449">
        <f t="shared" si="9"/>
        <v>25260.833333333332</v>
      </c>
      <c r="K26" s="449">
        <f t="shared" si="9"/>
        <v>26230.75</v>
      </c>
      <c r="L26" s="449">
        <f t="shared" si="9"/>
        <v>27282.75</v>
      </c>
      <c r="M26" s="449">
        <f t="shared" si="9"/>
        <v>40456.75</v>
      </c>
      <c r="N26" s="449">
        <f t="shared" si="9"/>
        <v>45760.75</v>
      </c>
      <c r="O26" s="450">
        <f t="shared" si="1"/>
        <v>344075.9833333334</v>
      </c>
    </row>
    <row r="27" spans="1:15" ht="16.5" thickBot="1">
      <c r="A27" s="453" t="s">
        <v>310</v>
      </c>
      <c r="B27" s="454" t="s">
        <v>415</v>
      </c>
      <c r="C27" s="455">
        <f>C15-C26</f>
        <v>3806.6666666666642</v>
      </c>
      <c r="D27" s="455">
        <f aca="true" t="shared" si="10" ref="D27:O27">D15-D26</f>
        <v>-3623.9166666666715</v>
      </c>
      <c r="E27" s="455">
        <f t="shared" si="10"/>
        <v>-6047.816666666666</v>
      </c>
      <c r="F27" s="455">
        <f t="shared" si="10"/>
        <v>-1110.050000000001</v>
      </c>
      <c r="G27" s="455">
        <f t="shared" si="10"/>
        <v>-561.1500000000015</v>
      </c>
      <c r="H27" s="455">
        <f t="shared" si="10"/>
        <v>23957.35</v>
      </c>
      <c r="I27" s="455">
        <f t="shared" si="10"/>
        <v>11643.849999999997</v>
      </c>
      <c r="J27" s="455">
        <f t="shared" si="10"/>
        <v>-10895.233333333332</v>
      </c>
      <c r="K27" s="455">
        <f t="shared" si="10"/>
        <v>13911.849999999999</v>
      </c>
      <c r="L27" s="455">
        <f t="shared" si="10"/>
        <v>-4028.1500000000015</v>
      </c>
      <c r="M27" s="455">
        <f t="shared" si="10"/>
        <v>-8134.1500000000015</v>
      </c>
      <c r="N27" s="455">
        <f t="shared" si="10"/>
        <v>-18918.75</v>
      </c>
      <c r="O27" s="455">
        <f t="shared" si="10"/>
        <v>0.49999999994179234</v>
      </c>
    </row>
    <row r="28" ht="15.75">
      <c r="A28" s="456"/>
    </row>
    <row r="29" spans="2:15" ht="15.75">
      <c r="B29" s="457"/>
      <c r="C29" s="458"/>
      <c r="D29" s="458"/>
      <c r="O29" s="423"/>
    </row>
    <row r="30" ht="15.75">
      <c r="O30" s="423"/>
    </row>
    <row r="31" ht="15.75">
      <c r="O31" s="423"/>
    </row>
    <row r="32" ht="15.75">
      <c r="O32" s="423"/>
    </row>
    <row r="33" s="423" customFormat="1" ht="15.75">
      <c r="A33" s="424"/>
    </row>
    <row r="34" s="423" customFormat="1" ht="15.75">
      <c r="A34" s="424"/>
    </row>
    <row r="35" s="423" customFormat="1" ht="15.75">
      <c r="A35" s="424"/>
    </row>
    <row r="36" s="423" customFormat="1" ht="15.75">
      <c r="A36" s="424"/>
    </row>
    <row r="37" s="423" customFormat="1" ht="15.75">
      <c r="A37" s="424"/>
    </row>
    <row r="38" s="423" customFormat="1" ht="15.75">
      <c r="A38" s="424"/>
    </row>
    <row r="39" s="423" customFormat="1" ht="15.75">
      <c r="A39" s="424"/>
    </row>
    <row r="40" s="423" customFormat="1" ht="15.75">
      <c r="A40" s="424"/>
    </row>
    <row r="41" s="423" customFormat="1" ht="15.75">
      <c r="A41" s="424"/>
    </row>
    <row r="42" s="423" customFormat="1" ht="15.75">
      <c r="A42" s="424"/>
    </row>
    <row r="43" s="423" customFormat="1" ht="15.75">
      <c r="A43" s="424"/>
    </row>
    <row r="44" s="423" customFormat="1" ht="15.75">
      <c r="A44" s="424"/>
    </row>
    <row r="45" s="423" customFormat="1" ht="15.75">
      <c r="A45" s="424"/>
    </row>
    <row r="46" s="423" customFormat="1" ht="15.75">
      <c r="A46" s="424"/>
    </row>
    <row r="47" s="423" customFormat="1" ht="15.75">
      <c r="A47" s="424"/>
    </row>
    <row r="48" s="423" customFormat="1" ht="15.75">
      <c r="A48" s="424"/>
    </row>
    <row r="49" s="423" customFormat="1" ht="15.75">
      <c r="A49" s="424"/>
    </row>
    <row r="50" s="423" customFormat="1" ht="15.75">
      <c r="A50" s="424"/>
    </row>
    <row r="51" s="423" customFormat="1" ht="15.75">
      <c r="A51" s="424"/>
    </row>
    <row r="52" s="423" customFormat="1" ht="15.75">
      <c r="A52" s="424"/>
    </row>
    <row r="53" s="423" customFormat="1" ht="15.75">
      <c r="A53" s="424"/>
    </row>
    <row r="54" s="423" customFormat="1" ht="15.75">
      <c r="A54" s="424"/>
    </row>
    <row r="55" s="423" customFormat="1" ht="15.75">
      <c r="A55" s="424"/>
    </row>
    <row r="56" s="423" customFormat="1" ht="15.75">
      <c r="A56" s="424"/>
    </row>
    <row r="57" s="423" customFormat="1" ht="15.75">
      <c r="A57" s="424"/>
    </row>
    <row r="58" s="423" customFormat="1" ht="15.75">
      <c r="A58" s="424"/>
    </row>
    <row r="59" s="423" customFormat="1" ht="15.75">
      <c r="A59" s="424"/>
    </row>
    <row r="60" s="423" customFormat="1" ht="15.75">
      <c r="A60" s="424"/>
    </row>
    <row r="61" s="423" customFormat="1" ht="15.75">
      <c r="A61" s="424"/>
    </row>
    <row r="62" s="423" customFormat="1" ht="15.75">
      <c r="A62" s="424"/>
    </row>
    <row r="63" s="423" customFormat="1" ht="15.75">
      <c r="A63" s="424"/>
    </row>
    <row r="64" s="423" customFormat="1" ht="15.75">
      <c r="A64" s="424"/>
    </row>
    <row r="65" s="423" customFormat="1" ht="15.75">
      <c r="A65" s="424"/>
    </row>
    <row r="66" s="423" customFormat="1" ht="15.75">
      <c r="A66" s="424"/>
    </row>
    <row r="67" s="423" customFormat="1" ht="15.75">
      <c r="A67" s="424"/>
    </row>
    <row r="68" s="423" customFormat="1" ht="15.75">
      <c r="A68" s="424"/>
    </row>
    <row r="69" s="423" customFormat="1" ht="15.75">
      <c r="A69" s="424"/>
    </row>
    <row r="70" s="423" customFormat="1" ht="15.75">
      <c r="A70" s="424"/>
    </row>
    <row r="71" s="423" customFormat="1" ht="15.75">
      <c r="A71" s="424"/>
    </row>
    <row r="72" s="423" customFormat="1" ht="15.75">
      <c r="A72" s="424"/>
    </row>
    <row r="73" s="423" customFormat="1" ht="15.75">
      <c r="A73" s="424"/>
    </row>
    <row r="74" s="423" customFormat="1" ht="15.75">
      <c r="A74" s="424"/>
    </row>
    <row r="75" s="423" customFormat="1" ht="15.75">
      <c r="A75" s="424"/>
    </row>
    <row r="76" s="423" customFormat="1" ht="15.75">
      <c r="A76" s="424"/>
    </row>
    <row r="77" s="423" customFormat="1" ht="15.75">
      <c r="A77" s="424"/>
    </row>
    <row r="78" s="423" customFormat="1" ht="15.75">
      <c r="A78" s="424"/>
    </row>
    <row r="79" s="423" customFormat="1" ht="15.75">
      <c r="A79" s="424"/>
    </row>
    <row r="80" s="423" customFormat="1" ht="15.75">
      <c r="A80" s="424"/>
    </row>
    <row r="81" s="423" customFormat="1" ht="15.75">
      <c r="A81" s="424"/>
    </row>
    <row r="82" s="423" customFormat="1" ht="15.75">
      <c r="A82" s="424"/>
    </row>
  </sheetData>
  <sheetProtection/>
  <mergeCells count="3">
    <mergeCell ref="A1:O1"/>
    <mergeCell ref="B5:O5"/>
    <mergeCell ref="B16:O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2015. évi előirányzat-felhasználási terve&amp;R&amp;"-,Dőlt"&amp;8
 11.melléklet a  9/2016.(v.24.)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view="pageLayout" zoomScaleNormal="85" workbookViewId="0" topLeftCell="A1">
      <selection activeCell="H1" sqref="H1"/>
    </sheetView>
  </sheetViews>
  <sheetFormatPr defaultColWidth="9.140625" defaultRowHeight="15"/>
  <cols>
    <col min="1" max="1" width="6.00390625" style="149" customWidth="1"/>
    <col min="2" max="2" width="55.7109375" style="150" customWidth="1"/>
    <col min="3" max="3" width="10.7109375" style="151" customWidth="1"/>
    <col min="4" max="4" width="10.421875" style="151" customWidth="1"/>
    <col min="5" max="5" width="11.7109375" style="151" customWidth="1"/>
    <col min="6" max="6" width="10.7109375" style="151" customWidth="1"/>
    <col min="7" max="7" width="10.421875" style="151" customWidth="1"/>
    <col min="8" max="8" width="11.7109375" style="151" customWidth="1"/>
    <col min="9" max="16384" width="9.140625" style="98" customWidth="1"/>
  </cols>
  <sheetData>
    <row r="1" spans="1:8" s="86" customFormat="1" ht="16.5" customHeight="1">
      <c r="A1" s="83"/>
      <c r="B1" s="84"/>
      <c r="C1" s="85"/>
      <c r="D1" s="85"/>
      <c r="E1" s="85"/>
      <c r="F1" s="85"/>
      <c r="G1" s="85"/>
      <c r="H1" s="85"/>
    </row>
    <row r="2" spans="1:8" s="90" customFormat="1" ht="21" customHeight="1">
      <c r="A2" s="87"/>
      <c r="B2" s="88"/>
      <c r="C2" s="89"/>
      <c r="D2" s="89"/>
      <c r="E2" s="89"/>
      <c r="F2" s="89"/>
      <c r="G2" s="89"/>
      <c r="H2" s="89"/>
    </row>
    <row r="3" spans="1:8" s="90" customFormat="1" ht="15.75">
      <c r="A3" s="91"/>
      <c r="B3" s="88"/>
      <c r="C3" s="92"/>
      <c r="D3" s="92"/>
      <c r="E3" s="92"/>
      <c r="F3" s="92"/>
      <c r="G3" s="92"/>
      <c r="H3" s="92"/>
    </row>
    <row r="4" spans="1:8" s="95" customFormat="1" ht="15.75" customHeight="1" thickBot="1">
      <c r="A4" s="93"/>
      <c r="B4" s="93"/>
      <c r="C4" s="94"/>
      <c r="D4" s="94"/>
      <c r="E4" s="94"/>
      <c r="F4" s="94"/>
      <c r="G4" s="94"/>
      <c r="H4" s="94" t="s">
        <v>249</v>
      </c>
    </row>
    <row r="5" spans="1:8" ht="24.75" thickBot="1">
      <c r="A5" s="96" t="s">
        <v>262</v>
      </c>
      <c r="B5" s="97" t="s">
        <v>253</v>
      </c>
      <c r="C5" s="467" t="s">
        <v>426</v>
      </c>
      <c r="D5" s="468"/>
      <c r="E5" s="469"/>
      <c r="F5" s="467" t="s">
        <v>439</v>
      </c>
      <c r="G5" s="468"/>
      <c r="H5" s="469"/>
    </row>
    <row r="6" spans="1:8" s="102" customFormat="1" ht="12.75" customHeight="1" thickBot="1">
      <c r="A6" s="99" t="s">
        <v>240</v>
      </c>
      <c r="B6" s="100" t="s">
        <v>241</v>
      </c>
      <c r="C6" s="101" t="s">
        <v>242</v>
      </c>
      <c r="D6" s="101" t="s">
        <v>250</v>
      </c>
      <c r="E6" s="101" t="s">
        <v>251</v>
      </c>
      <c r="F6" s="101" t="s">
        <v>252</v>
      </c>
      <c r="G6" s="101" t="s">
        <v>375</v>
      </c>
      <c r="H6" s="101" t="s">
        <v>417</v>
      </c>
    </row>
    <row r="7" spans="1:8" s="102" customFormat="1" ht="12.75" customHeight="1">
      <c r="A7" s="472"/>
      <c r="B7" s="474" t="s">
        <v>254</v>
      </c>
      <c r="C7" s="470" t="s">
        <v>258</v>
      </c>
      <c r="D7" s="472" t="s">
        <v>259</v>
      </c>
      <c r="E7" s="472" t="s">
        <v>260</v>
      </c>
      <c r="F7" s="470" t="s">
        <v>258</v>
      </c>
      <c r="G7" s="472" t="s">
        <v>259</v>
      </c>
      <c r="H7" s="472" t="s">
        <v>260</v>
      </c>
    </row>
    <row r="8" spans="1:8" s="102" customFormat="1" ht="15.75" customHeight="1" thickBot="1">
      <c r="A8" s="473"/>
      <c r="B8" s="475"/>
      <c r="C8" s="471"/>
      <c r="D8" s="473"/>
      <c r="E8" s="473"/>
      <c r="F8" s="471"/>
      <c r="G8" s="473"/>
      <c r="H8" s="473"/>
    </row>
    <row r="9" spans="1:8" s="102" customFormat="1" ht="12" customHeight="1" thickBot="1">
      <c r="A9" s="103" t="s">
        <v>4</v>
      </c>
      <c r="B9" s="11" t="s">
        <v>5</v>
      </c>
      <c r="C9" s="12">
        <f>+C10+C11+C12+C13+C14</f>
        <v>63160</v>
      </c>
      <c r="D9" s="12">
        <f>+D10+D11+D12+D13+D14</f>
        <v>0</v>
      </c>
      <c r="E9" s="12">
        <f>C9+D9</f>
        <v>63160</v>
      </c>
      <c r="F9" s="12">
        <f>+F10+F11+F12+F13+F14</f>
        <v>53606</v>
      </c>
      <c r="G9" s="12">
        <f>+G10+G11+G12+G13+G14</f>
        <v>0</v>
      </c>
      <c r="H9" s="12">
        <f>F9+G9</f>
        <v>53606</v>
      </c>
    </row>
    <row r="10" spans="1:8" s="106" customFormat="1" ht="12" customHeight="1">
      <c r="A10" s="104" t="s">
        <v>6</v>
      </c>
      <c r="B10" s="105" t="s">
        <v>7</v>
      </c>
      <c r="C10" s="15">
        <v>17622</v>
      </c>
      <c r="D10" s="15"/>
      <c r="E10" s="15">
        <f>D10+C10</f>
        <v>17622</v>
      </c>
      <c r="F10" s="15">
        <v>13817</v>
      </c>
      <c r="G10" s="15"/>
      <c r="H10" s="15">
        <f>G10+F10</f>
        <v>13817</v>
      </c>
    </row>
    <row r="11" spans="1:8" s="109" customFormat="1" ht="12" customHeight="1">
      <c r="A11" s="107" t="s">
        <v>8</v>
      </c>
      <c r="B11" s="108" t="s">
        <v>9</v>
      </c>
      <c r="C11" s="19">
        <v>14431</v>
      </c>
      <c r="D11" s="19"/>
      <c r="E11" s="15">
        <f>D11+C11</f>
        <v>14431</v>
      </c>
      <c r="F11" s="19">
        <v>14101</v>
      </c>
      <c r="G11" s="19"/>
      <c r="H11" s="15">
        <f>G11+F11</f>
        <v>14101</v>
      </c>
    </row>
    <row r="12" spans="1:8" s="109" customFormat="1" ht="12" customHeight="1">
      <c r="A12" s="107" t="s">
        <v>10</v>
      </c>
      <c r="B12" s="108" t="s">
        <v>11</v>
      </c>
      <c r="C12" s="19">
        <v>15035</v>
      </c>
      <c r="D12" s="19"/>
      <c r="E12" s="15">
        <f>D12+C12</f>
        <v>15035</v>
      </c>
      <c r="F12" s="19">
        <v>17192</v>
      </c>
      <c r="G12" s="19"/>
      <c r="H12" s="15">
        <f>G12+F12</f>
        <v>17192</v>
      </c>
    </row>
    <row r="13" spans="1:8" s="109" customFormat="1" ht="12" customHeight="1">
      <c r="A13" s="107" t="s">
        <v>12</v>
      </c>
      <c r="B13" s="108" t="s">
        <v>13</v>
      </c>
      <c r="C13" s="19">
        <v>1200</v>
      </c>
      <c r="D13" s="19"/>
      <c r="E13" s="15">
        <f>D13+C13</f>
        <v>1200</v>
      </c>
      <c r="F13" s="19">
        <v>1200</v>
      </c>
      <c r="G13" s="19"/>
      <c r="H13" s="15">
        <f>G13+F13</f>
        <v>1200</v>
      </c>
    </row>
    <row r="14" spans="1:8" s="109" customFormat="1" ht="12" customHeight="1" thickBot="1">
      <c r="A14" s="107" t="s">
        <v>14</v>
      </c>
      <c r="B14" s="108" t="s">
        <v>427</v>
      </c>
      <c r="C14" s="19">
        <v>14872</v>
      </c>
      <c r="D14" s="19"/>
      <c r="E14" s="15">
        <f aca="true" t="shared" si="0" ref="E14:E21">C14+D14</f>
        <v>14872</v>
      </c>
      <c r="F14" s="19">
        <f>7092+204</f>
        <v>7296</v>
      </c>
      <c r="G14" s="19"/>
      <c r="H14" s="15">
        <f aca="true" t="shared" si="1" ref="H14:H21">F14+G14</f>
        <v>7296</v>
      </c>
    </row>
    <row r="15" spans="1:8" s="106" customFormat="1" ht="12" customHeight="1" thickBot="1">
      <c r="A15" s="46" t="s">
        <v>17</v>
      </c>
      <c r="B15" s="110" t="s">
        <v>18</v>
      </c>
      <c r="C15" s="12">
        <f>+C16+C17+C18+C19+C20</f>
        <v>21671</v>
      </c>
      <c r="D15" s="12">
        <f>+D16+D17+D18+D19+D20</f>
        <v>0</v>
      </c>
      <c r="E15" s="12">
        <f t="shared" si="0"/>
        <v>21671</v>
      </c>
      <c r="F15" s="12">
        <f>+F16+F17+F18+F19+F20</f>
        <v>75000</v>
      </c>
      <c r="G15" s="12">
        <f>+G16+G17+G18+G19+G20</f>
        <v>0</v>
      </c>
      <c r="H15" s="12">
        <f t="shared" si="1"/>
        <v>75000</v>
      </c>
    </row>
    <row r="16" spans="1:8" s="106" customFormat="1" ht="12" customHeight="1">
      <c r="A16" s="104" t="s">
        <v>19</v>
      </c>
      <c r="B16" s="105" t="s">
        <v>20</v>
      </c>
      <c r="C16" s="15"/>
      <c r="D16" s="15"/>
      <c r="E16" s="15">
        <f t="shared" si="0"/>
        <v>0</v>
      </c>
      <c r="F16" s="15"/>
      <c r="G16" s="15"/>
      <c r="H16" s="15">
        <f t="shared" si="1"/>
        <v>0</v>
      </c>
    </row>
    <row r="17" spans="1:8" s="106" customFormat="1" ht="12" customHeight="1">
      <c r="A17" s="107" t="s">
        <v>21</v>
      </c>
      <c r="B17" s="108" t="s">
        <v>22</v>
      </c>
      <c r="C17" s="19"/>
      <c r="D17" s="19"/>
      <c r="E17" s="15">
        <f t="shared" si="0"/>
        <v>0</v>
      </c>
      <c r="F17" s="19"/>
      <c r="G17" s="19"/>
      <c r="H17" s="15">
        <f t="shared" si="1"/>
        <v>0</v>
      </c>
    </row>
    <row r="18" spans="1:8" s="106" customFormat="1" ht="12" customHeight="1">
      <c r="A18" s="107" t="s">
        <v>23</v>
      </c>
      <c r="B18" s="108" t="s">
        <v>24</v>
      </c>
      <c r="C18" s="19"/>
      <c r="D18" s="19"/>
      <c r="E18" s="15">
        <f t="shared" si="0"/>
        <v>0</v>
      </c>
      <c r="F18" s="19"/>
      <c r="G18" s="19"/>
      <c r="H18" s="15">
        <f t="shared" si="1"/>
        <v>0</v>
      </c>
    </row>
    <row r="19" spans="1:8" s="106" customFormat="1" ht="12" customHeight="1">
      <c r="A19" s="107" t="s">
        <v>25</v>
      </c>
      <c r="B19" s="108" t="s">
        <v>26</v>
      </c>
      <c r="C19" s="19"/>
      <c r="D19" s="19"/>
      <c r="E19" s="15">
        <f t="shared" si="0"/>
        <v>0</v>
      </c>
      <c r="F19" s="19"/>
      <c r="G19" s="19"/>
      <c r="H19" s="15">
        <f t="shared" si="1"/>
        <v>0</v>
      </c>
    </row>
    <row r="20" spans="1:8" s="106" customFormat="1" ht="12" customHeight="1">
      <c r="A20" s="107" t="s">
        <v>27</v>
      </c>
      <c r="B20" s="108" t="s">
        <v>28</v>
      </c>
      <c r="C20" s="19">
        <v>21671</v>
      </c>
      <c r="D20" s="19"/>
      <c r="E20" s="15">
        <f t="shared" si="0"/>
        <v>21671</v>
      </c>
      <c r="F20" s="19">
        <v>75000</v>
      </c>
      <c r="G20" s="19"/>
      <c r="H20" s="15">
        <f t="shared" si="1"/>
        <v>75000</v>
      </c>
    </row>
    <row r="21" spans="1:8" s="109" customFormat="1" ht="12" customHeight="1" thickBot="1">
      <c r="A21" s="111" t="s">
        <v>29</v>
      </c>
      <c r="B21" s="112" t="s">
        <v>30</v>
      </c>
      <c r="C21" s="22">
        <v>21671</v>
      </c>
      <c r="D21" s="22"/>
      <c r="E21" s="15">
        <f t="shared" si="0"/>
        <v>21671</v>
      </c>
      <c r="F21" s="22">
        <v>21671</v>
      </c>
      <c r="G21" s="22"/>
      <c r="H21" s="15">
        <f t="shared" si="1"/>
        <v>21671</v>
      </c>
    </row>
    <row r="22" spans="1:8" s="109" customFormat="1" ht="12" customHeight="1" thickBot="1">
      <c r="A22" s="46" t="s">
        <v>31</v>
      </c>
      <c r="B22" s="11" t="s">
        <v>32</v>
      </c>
      <c r="C22" s="12">
        <f>+C23+C24+C25+C26+C27</f>
        <v>52096</v>
      </c>
      <c r="D22" s="12">
        <f>+D23+D24+D25+D26+D27</f>
        <v>0</v>
      </c>
      <c r="E22" s="12">
        <f aca="true" t="shared" si="2" ref="E22:E37">D22+C22</f>
        <v>52096</v>
      </c>
      <c r="F22" s="12">
        <f>+F23+F24+F25+F26+F27</f>
        <v>100457</v>
      </c>
      <c r="G22" s="12">
        <f>+G23+G24+G25+G26+G27</f>
        <v>0</v>
      </c>
      <c r="H22" s="12">
        <f aca="true" t="shared" si="3" ref="H22:H37">G22+F22</f>
        <v>100457</v>
      </c>
    </row>
    <row r="23" spans="1:8" s="109" customFormat="1" ht="12" customHeight="1">
      <c r="A23" s="104" t="s">
        <v>33</v>
      </c>
      <c r="B23" s="105" t="s">
        <v>34</v>
      </c>
      <c r="C23" s="15"/>
      <c r="D23" s="15"/>
      <c r="E23" s="15">
        <f t="shared" si="2"/>
        <v>0</v>
      </c>
      <c r="F23" s="15">
        <v>40357</v>
      </c>
      <c r="G23" s="15"/>
      <c r="H23" s="15">
        <f t="shared" si="3"/>
        <v>40357</v>
      </c>
    </row>
    <row r="24" spans="1:8" s="106" customFormat="1" ht="12" customHeight="1">
      <c r="A24" s="107" t="s">
        <v>35</v>
      </c>
      <c r="B24" s="108" t="s">
        <v>36</v>
      </c>
      <c r="C24" s="19"/>
      <c r="D24" s="19"/>
      <c r="E24" s="15">
        <f t="shared" si="2"/>
        <v>0</v>
      </c>
      <c r="F24" s="19"/>
      <c r="G24" s="19"/>
      <c r="H24" s="15">
        <f t="shared" si="3"/>
        <v>0</v>
      </c>
    </row>
    <row r="25" spans="1:8" s="109" customFormat="1" ht="12" customHeight="1">
      <c r="A25" s="107" t="s">
        <v>37</v>
      </c>
      <c r="B25" s="108" t="s">
        <v>38</v>
      </c>
      <c r="C25" s="19"/>
      <c r="D25" s="19"/>
      <c r="E25" s="15">
        <f t="shared" si="2"/>
        <v>0</v>
      </c>
      <c r="F25" s="19"/>
      <c r="G25" s="19"/>
      <c r="H25" s="15">
        <f t="shared" si="3"/>
        <v>0</v>
      </c>
    </row>
    <row r="26" spans="1:8" s="109" customFormat="1" ht="12" customHeight="1">
      <c r="A26" s="107" t="s">
        <v>39</v>
      </c>
      <c r="B26" s="108" t="s">
        <v>40</v>
      </c>
      <c r="C26" s="19"/>
      <c r="D26" s="19"/>
      <c r="E26" s="15">
        <f t="shared" si="2"/>
        <v>0</v>
      </c>
      <c r="F26" s="19"/>
      <c r="G26" s="19"/>
      <c r="H26" s="15">
        <f t="shared" si="3"/>
        <v>0</v>
      </c>
    </row>
    <row r="27" spans="1:8" s="109" customFormat="1" ht="12" customHeight="1">
      <c r="A27" s="107" t="s">
        <v>41</v>
      </c>
      <c r="B27" s="108" t="s">
        <v>42</v>
      </c>
      <c r="C27" s="19">
        <v>52096</v>
      </c>
      <c r="D27" s="19"/>
      <c r="E27" s="15">
        <f t="shared" si="2"/>
        <v>52096</v>
      </c>
      <c r="F27" s="19">
        <v>60100</v>
      </c>
      <c r="G27" s="19"/>
      <c r="H27" s="15">
        <f t="shared" si="3"/>
        <v>60100</v>
      </c>
    </row>
    <row r="28" spans="1:8" s="109" customFormat="1" ht="12" customHeight="1" thickBot="1">
      <c r="A28" s="111" t="s">
        <v>43</v>
      </c>
      <c r="B28" s="112" t="s">
        <v>44</v>
      </c>
      <c r="C28" s="22">
        <v>52096</v>
      </c>
      <c r="D28" s="22"/>
      <c r="E28" s="15">
        <f t="shared" si="2"/>
        <v>52096</v>
      </c>
      <c r="F28" s="22">
        <v>52096</v>
      </c>
      <c r="G28" s="22"/>
      <c r="H28" s="15">
        <f t="shared" si="3"/>
        <v>52096</v>
      </c>
    </row>
    <row r="29" spans="1:8" s="109" customFormat="1" ht="12" customHeight="1" thickBot="1">
      <c r="A29" s="46" t="s">
        <v>45</v>
      </c>
      <c r="B29" s="11" t="s">
        <v>46</v>
      </c>
      <c r="C29" s="23">
        <f>+C30+C33+C34+C35</f>
        <v>7590</v>
      </c>
      <c r="D29" s="23">
        <f>+D30+D33+D34+D35</f>
        <v>0</v>
      </c>
      <c r="E29" s="23">
        <f t="shared" si="2"/>
        <v>7590</v>
      </c>
      <c r="F29" s="23">
        <f>+F30+F33+F34+F35</f>
        <v>14001</v>
      </c>
      <c r="G29" s="23">
        <f>+G30+G33+G34+G35</f>
        <v>0</v>
      </c>
      <c r="H29" s="23">
        <f t="shared" si="3"/>
        <v>14001</v>
      </c>
    </row>
    <row r="30" spans="1:8" s="109" customFormat="1" ht="12" customHeight="1">
      <c r="A30" s="104" t="s">
        <v>47</v>
      </c>
      <c r="B30" s="105" t="s">
        <v>48</v>
      </c>
      <c r="C30" s="113">
        <f>+C31+C32</f>
        <v>6000</v>
      </c>
      <c r="D30" s="113">
        <f>+D31+D32</f>
        <v>0</v>
      </c>
      <c r="E30" s="113">
        <f t="shared" si="2"/>
        <v>6000</v>
      </c>
      <c r="F30" s="113">
        <f>+F31+F32</f>
        <v>11100</v>
      </c>
      <c r="G30" s="113">
        <f>+G31+G32</f>
        <v>0</v>
      </c>
      <c r="H30" s="113">
        <f t="shared" si="3"/>
        <v>11100</v>
      </c>
    </row>
    <row r="31" spans="1:8" s="109" customFormat="1" ht="12" customHeight="1">
      <c r="A31" s="107" t="s">
        <v>49</v>
      </c>
      <c r="B31" s="108" t="s">
        <v>50</v>
      </c>
      <c r="C31" s="19">
        <v>2000</v>
      </c>
      <c r="D31" s="19"/>
      <c r="E31" s="113">
        <f t="shared" si="2"/>
        <v>2000</v>
      </c>
      <c r="F31" s="19">
        <v>2600</v>
      </c>
      <c r="G31" s="19"/>
      <c r="H31" s="113">
        <f t="shared" si="3"/>
        <v>2600</v>
      </c>
    </row>
    <row r="32" spans="1:8" s="109" customFormat="1" ht="12" customHeight="1">
      <c r="A32" s="107" t="s">
        <v>51</v>
      </c>
      <c r="B32" s="108" t="s">
        <v>52</v>
      </c>
      <c r="C32" s="19">
        <v>4000</v>
      </c>
      <c r="D32" s="19"/>
      <c r="E32" s="113">
        <f t="shared" si="2"/>
        <v>4000</v>
      </c>
      <c r="F32" s="19">
        <v>8500</v>
      </c>
      <c r="G32" s="19"/>
      <c r="H32" s="113">
        <f t="shared" si="3"/>
        <v>8500</v>
      </c>
    </row>
    <row r="33" spans="1:8" s="109" customFormat="1" ht="12" customHeight="1">
      <c r="A33" s="107" t="s">
        <v>53</v>
      </c>
      <c r="B33" s="108" t="s">
        <v>54</v>
      </c>
      <c r="C33" s="19">
        <v>940</v>
      </c>
      <c r="D33" s="19"/>
      <c r="E33" s="113">
        <f t="shared" si="2"/>
        <v>940</v>
      </c>
      <c r="F33" s="19">
        <v>1500</v>
      </c>
      <c r="G33" s="19"/>
      <c r="H33" s="113">
        <f t="shared" si="3"/>
        <v>1500</v>
      </c>
    </row>
    <row r="34" spans="1:8" s="109" customFormat="1" ht="12" customHeight="1">
      <c r="A34" s="107" t="s">
        <v>55</v>
      </c>
      <c r="B34" s="108" t="s">
        <v>56</v>
      </c>
      <c r="C34" s="19">
        <v>500</v>
      </c>
      <c r="D34" s="19"/>
      <c r="E34" s="113">
        <f t="shared" si="2"/>
        <v>500</v>
      </c>
      <c r="F34" s="19">
        <v>941</v>
      </c>
      <c r="G34" s="19"/>
      <c r="H34" s="113">
        <f t="shared" si="3"/>
        <v>941</v>
      </c>
    </row>
    <row r="35" spans="1:8" s="109" customFormat="1" ht="12" customHeight="1" thickBot="1">
      <c r="A35" s="111" t="s">
        <v>57</v>
      </c>
      <c r="B35" s="112" t="s">
        <v>58</v>
      </c>
      <c r="C35" s="22">
        <v>150</v>
      </c>
      <c r="D35" s="22"/>
      <c r="E35" s="113">
        <f t="shared" si="2"/>
        <v>150</v>
      </c>
      <c r="F35" s="22">
        <v>460</v>
      </c>
      <c r="G35" s="22"/>
      <c r="H35" s="113">
        <f t="shared" si="3"/>
        <v>460</v>
      </c>
    </row>
    <row r="36" spans="1:8" s="109" customFormat="1" ht="12" customHeight="1" thickBot="1">
      <c r="A36" s="46" t="s">
        <v>59</v>
      </c>
      <c r="B36" s="11" t="s">
        <v>60</v>
      </c>
      <c r="C36" s="12">
        <f>SUM(C37:C46)</f>
        <v>6827</v>
      </c>
      <c r="D36" s="12">
        <f>SUM(D37:D46)</f>
        <v>8563</v>
      </c>
      <c r="E36" s="12">
        <f t="shared" si="2"/>
        <v>15390</v>
      </c>
      <c r="F36" s="12">
        <f>SUM(F37:F46)</f>
        <v>31860</v>
      </c>
      <c r="G36" s="12">
        <f>SUM(G37:G46)</f>
        <v>8853</v>
      </c>
      <c r="H36" s="12">
        <f t="shared" si="3"/>
        <v>40713</v>
      </c>
    </row>
    <row r="37" spans="1:8" s="109" customFormat="1" ht="12" customHeight="1">
      <c r="A37" s="104" t="s">
        <v>61</v>
      </c>
      <c r="B37" s="105" t="s">
        <v>62</v>
      </c>
      <c r="C37" s="15"/>
      <c r="D37" s="15"/>
      <c r="E37" s="15">
        <f t="shared" si="2"/>
        <v>0</v>
      </c>
      <c r="F37" s="15">
        <v>1700</v>
      </c>
      <c r="G37" s="15"/>
      <c r="H37" s="15">
        <f t="shared" si="3"/>
        <v>1700</v>
      </c>
    </row>
    <row r="38" spans="1:8" s="109" customFormat="1" ht="12" customHeight="1">
      <c r="A38" s="107" t="s">
        <v>63</v>
      </c>
      <c r="B38" s="108" t="s">
        <v>64</v>
      </c>
      <c r="C38" s="19">
        <f>552-11</f>
        <v>541</v>
      </c>
      <c r="D38" s="19">
        <f>5977-552+11</f>
        <v>5436</v>
      </c>
      <c r="E38" s="15">
        <f aca="true" t="shared" si="4" ref="E38:E47">D38+C38</f>
        <v>5977</v>
      </c>
      <c r="F38" s="19">
        <v>23000</v>
      </c>
      <c r="G38" s="19">
        <v>5331</v>
      </c>
      <c r="H38" s="15">
        <f aca="true" t="shared" si="5" ref="H38:H47">G38+F38</f>
        <v>28331</v>
      </c>
    </row>
    <row r="39" spans="1:8" s="109" customFormat="1" ht="12" customHeight="1">
      <c r="A39" s="107" t="s">
        <v>65</v>
      </c>
      <c r="B39" s="108" t="s">
        <v>66</v>
      </c>
      <c r="C39" s="19">
        <v>2000</v>
      </c>
      <c r="D39" s="19"/>
      <c r="E39" s="15">
        <f t="shared" si="4"/>
        <v>2000</v>
      </c>
      <c r="F39" s="19">
        <v>2500</v>
      </c>
      <c r="G39" s="19"/>
      <c r="H39" s="15">
        <f t="shared" si="5"/>
        <v>2500</v>
      </c>
    </row>
    <row r="40" spans="1:8" s="109" customFormat="1" ht="12" customHeight="1">
      <c r="A40" s="107" t="s">
        <v>67</v>
      </c>
      <c r="B40" s="108" t="s">
        <v>68</v>
      </c>
      <c r="C40" s="19">
        <v>43</v>
      </c>
      <c r="D40" s="19"/>
      <c r="E40" s="15">
        <f t="shared" si="4"/>
        <v>43</v>
      </c>
      <c r="F40" s="19">
        <v>0</v>
      </c>
      <c r="G40" s="19"/>
      <c r="H40" s="15">
        <f t="shared" si="5"/>
        <v>0</v>
      </c>
    </row>
    <row r="41" spans="1:8" s="109" customFormat="1" ht="12" customHeight="1">
      <c r="A41" s="107" t="s">
        <v>69</v>
      </c>
      <c r="B41" s="108" t="s">
        <v>70</v>
      </c>
      <c r="C41" s="19">
        <v>2520</v>
      </c>
      <c r="D41" s="19">
        <f>3829-2520</f>
        <v>1309</v>
      </c>
      <c r="E41" s="15">
        <f t="shared" si="4"/>
        <v>3829</v>
      </c>
      <c r="F41" s="19">
        <v>2400</v>
      </c>
      <c r="G41" s="19">
        <v>1600</v>
      </c>
      <c r="H41" s="15">
        <f t="shared" si="5"/>
        <v>4000</v>
      </c>
    </row>
    <row r="42" spans="1:8" s="109" customFormat="1" ht="12" customHeight="1">
      <c r="A42" s="107" t="s">
        <v>71</v>
      </c>
      <c r="B42" s="108" t="s">
        <v>72</v>
      </c>
      <c r="C42" s="19">
        <v>1213</v>
      </c>
      <c r="D42" s="19">
        <f>3031-C42</f>
        <v>1818</v>
      </c>
      <c r="E42" s="15">
        <f t="shared" si="4"/>
        <v>3031</v>
      </c>
      <c r="F42" s="19">
        <v>2000</v>
      </c>
      <c r="G42" s="19">
        <v>1912</v>
      </c>
      <c r="H42" s="15">
        <f t="shared" si="5"/>
        <v>3912</v>
      </c>
    </row>
    <row r="43" spans="1:8" s="109" customFormat="1" ht="12" customHeight="1">
      <c r="A43" s="107" t="s">
        <v>73</v>
      </c>
      <c r="B43" s="108" t="s">
        <v>74</v>
      </c>
      <c r="C43" s="19"/>
      <c r="D43" s="19"/>
      <c r="E43" s="15">
        <f t="shared" si="4"/>
        <v>0</v>
      </c>
      <c r="F43" s="19"/>
      <c r="G43" s="19"/>
      <c r="H43" s="15">
        <f t="shared" si="5"/>
        <v>0</v>
      </c>
    </row>
    <row r="44" spans="1:8" s="109" customFormat="1" ht="12" customHeight="1">
      <c r="A44" s="107" t="s">
        <v>75</v>
      </c>
      <c r="B44" s="108" t="s">
        <v>76</v>
      </c>
      <c r="C44" s="19">
        <v>60</v>
      </c>
      <c r="D44" s="19"/>
      <c r="E44" s="15">
        <f t="shared" si="4"/>
        <v>60</v>
      </c>
      <c r="F44" s="19">
        <v>60</v>
      </c>
      <c r="G44" s="19">
        <v>10</v>
      </c>
      <c r="H44" s="15">
        <f t="shared" si="5"/>
        <v>70</v>
      </c>
    </row>
    <row r="45" spans="1:8" s="109" customFormat="1" ht="12" customHeight="1">
      <c r="A45" s="107" t="s">
        <v>77</v>
      </c>
      <c r="B45" s="108" t="s">
        <v>78</v>
      </c>
      <c r="C45" s="24"/>
      <c r="D45" s="24"/>
      <c r="E45" s="15">
        <f t="shared" si="4"/>
        <v>0</v>
      </c>
      <c r="F45" s="24"/>
      <c r="G45" s="24"/>
      <c r="H45" s="15">
        <f t="shared" si="5"/>
        <v>0</v>
      </c>
    </row>
    <row r="46" spans="1:8" s="109" customFormat="1" ht="12" customHeight="1" thickBot="1">
      <c r="A46" s="111" t="s">
        <v>79</v>
      </c>
      <c r="B46" s="112" t="s">
        <v>80</v>
      </c>
      <c r="C46" s="29">
        <v>450</v>
      </c>
      <c r="D46" s="29"/>
      <c r="E46" s="114">
        <f t="shared" si="4"/>
        <v>450</v>
      </c>
      <c r="F46" s="29">
        <v>200</v>
      </c>
      <c r="G46" s="29"/>
      <c r="H46" s="114">
        <f t="shared" si="5"/>
        <v>200</v>
      </c>
    </row>
    <row r="47" spans="1:8" s="109" customFormat="1" ht="12" customHeight="1" thickBot="1">
      <c r="A47" s="46" t="s">
        <v>81</v>
      </c>
      <c r="B47" s="11" t="s">
        <v>82</v>
      </c>
      <c r="C47" s="12">
        <f>SUM(C48:C52)</f>
        <v>0</v>
      </c>
      <c r="D47" s="12">
        <f>SUM(D48:D52)</f>
        <v>0</v>
      </c>
      <c r="E47" s="115">
        <f t="shared" si="4"/>
        <v>0</v>
      </c>
      <c r="F47" s="12">
        <f>SUM(F48:F52)</f>
        <v>1900</v>
      </c>
      <c r="G47" s="12">
        <f>SUM(G48:G52)</f>
        <v>0</v>
      </c>
      <c r="H47" s="116">
        <f t="shared" si="5"/>
        <v>1900</v>
      </c>
    </row>
    <row r="48" spans="1:8" s="109" customFormat="1" ht="12" customHeight="1">
      <c r="A48" s="104" t="s">
        <v>83</v>
      </c>
      <c r="B48" s="105" t="s">
        <v>84</v>
      </c>
      <c r="C48" s="28"/>
      <c r="D48" s="28"/>
      <c r="E48" s="28"/>
      <c r="F48" s="28"/>
      <c r="G48" s="28"/>
      <c r="H48" s="28"/>
    </row>
    <row r="49" spans="1:8" s="109" customFormat="1" ht="12" customHeight="1">
      <c r="A49" s="107" t="s">
        <v>85</v>
      </c>
      <c r="B49" s="108" t="s">
        <v>86</v>
      </c>
      <c r="C49" s="24"/>
      <c r="D49" s="24"/>
      <c r="E49" s="24"/>
      <c r="F49" s="24">
        <v>1900</v>
      </c>
      <c r="G49" s="24"/>
      <c r="H49" s="24">
        <v>1900</v>
      </c>
    </row>
    <row r="50" spans="1:8" s="109" customFormat="1" ht="12" customHeight="1">
      <c r="A50" s="107" t="s">
        <v>87</v>
      </c>
      <c r="B50" s="108" t="s">
        <v>88</v>
      </c>
      <c r="C50" s="24"/>
      <c r="D50" s="24"/>
      <c r="E50" s="24"/>
      <c r="F50" s="24"/>
      <c r="G50" s="24"/>
      <c r="H50" s="24"/>
    </row>
    <row r="51" spans="1:8" s="109" customFormat="1" ht="12" customHeight="1">
      <c r="A51" s="107" t="s">
        <v>89</v>
      </c>
      <c r="B51" s="108" t="s">
        <v>90</v>
      </c>
      <c r="C51" s="24"/>
      <c r="D51" s="24"/>
      <c r="E51" s="24"/>
      <c r="F51" s="24"/>
      <c r="G51" s="24"/>
      <c r="H51" s="24"/>
    </row>
    <row r="52" spans="1:8" s="109" customFormat="1" ht="12" customHeight="1" thickBot="1">
      <c r="A52" s="111" t="s">
        <v>91</v>
      </c>
      <c r="B52" s="112" t="s">
        <v>92</v>
      </c>
      <c r="C52" s="29"/>
      <c r="D52" s="29"/>
      <c r="E52" s="29"/>
      <c r="F52" s="29"/>
      <c r="G52" s="29"/>
      <c r="H52" s="29"/>
    </row>
    <row r="53" spans="1:8" s="109" customFormat="1" ht="12" customHeight="1" thickBot="1">
      <c r="A53" s="46" t="s">
        <v>93</v>
      </c>
      <c r="B53" s="11" t="s">
        <v>94</v>
      </c>
      <c r="C53" s="12">
        <f>SUM(C54:C56)</f>
        <v>13940</v>
      </c>
      <c r="D53" s="12">
        <f>SUM(D54:D56)</f>
        <v>0</v>
      </c>
      <c r="E53" s="12">
        <f>D53+C53</f>
        <v>13940</v>
      </c>
      <c r="F53" s="12">
        <f>SUM(F54:F57)</f>
        <v>11110</v>
      </c>
      <c r="G53" s="12">
        <f>SUM(G54:G56)</f>
        <v>0</v>
      </c>
      <c r="H53" s="12">
        <f>G53+F53</f>
        <v>11110</v>
      </c>
    </row>
    <row r="54" spans="1:8" s="109" customFormat="1" ht="12" customHeight="1">
      <c r="A54" s="104" t="s">
        <v>95</v>
      </c>
      <c r="B54" s="105" t="s">
        <v>96</v>
      </c>
      <c r="C54" s="15"/>
      <c r="D54" s="15"/>
      <c r="E54" s="15">
        <f>C54+D54</f>
        <v>0</v>
      </c>
      <c r="F54" s="15"/>
      <c r="G54" s="15"/>
      <c r="H54" s="15">
        <f>F54+G54</f>
        <v>0</v>
      </c>
    </row>
    <row r="55" spans="1:8" s="109" customFormat="1" ht="12" customHeight="1">
      <c r="A55" s="107" t="s">
        <v>97</v>
      </c>
      <c r="B55" s="108" t="s">
        <v>98</v>
      </c>
      <c r="C55" s="19"/>
      <c r="D55" s="19"/>
      <c r="E55" s="15">
        <f>C55+D55</f>
        <v>0</v>
      </c>
      <c r="F55" s="19">
        <v>110</v>
      </c>
      <c r="G55" s="19"/>
      <c r="H55" s="15">
        <f>F55+G55</f>
        <v>110</v>
      </c>
    </row>
    <row r="56" spans="1:8" s="109" customFormat="1" ht="12" customHeight="1">
      <c r="A56" s="107" t="s">
        <v>99</v>
      </c>
      <c r="B56" s="108" t="s">
        <v>100</v>
      </c>
      <c r="C56" s="19">
        <v>13940</v>
      </c>
      <c r="D56" s="19"/>
      <c r="E56" s="15">
        <f>C56+D56</f>
        <v>13940</v>
      </c>
      <c r="F56" s="19">
        <v>11000</v>
      </c>
      <c r="G56" s="19"/>
      <c r="H56" s="15">
        <f>F56+G56</f>
        <v>11000</v>
      </c>
    </row>
    <row r="57" spans="1:8" s="109" customFormat="1" ht="12" customHeight="1" thickBot="1">
      <c r="A57" s="111" t="s">
        <v>101</v>
      </c>
      <c r="B57" s="112" t="s">
        <v>102</v>
      </c>
      <c r="C57" s="22"/>
      <c r="D57" s="22"/>
      <c r="E57" s="15">
        <f>C57+D57</f>
        <v>0</v>
      </c>
      <c r="F57" s="22">
        <v>0</v>
      </c>
      <c r="G57" s="22"/>
      <c r="H57" s="15">
        <f>F57+G57</f>
        <v>0</v>
      </c>
    </row>
    <row r="58" spans="1:8" s="109" customFormat="1" ht="12" customHeight="1" thickBot="1">
      <c r="A58" s="46" t="s">
        <v>103</v>
      </c>
      <c r="B58" s="110" t="s">
        <v>104</v>
      </c>
      <c r="C58" s="12">
        <f aca="true" t="shared" si="6" ref="C58:H58">SUM(C59:C61)</f>
        <v>0</v>
      </c>
      <c r="D58" s="12">
        <f t="shared" si="6"/>
        <v>0</v>
      </c>
      <c r="E58" s="12">
        <f t="shared" si="6"/>
        <v>0</v>
      </c>
      <c r="F58" s="12">
        <f t="shared" si="6"/>
        <v>0</v>
      </c>
      <c r="G58" s="12">
        <f t="shared" si="6"/>
        <v>0</v>
      </c>
      <c r="H58" s="12">
        <f t="shared" si="6"/>
        <v>0</v>
      </c>
    </row>
    <row r="59" spans="1:8" s="109" customFormat="1" ht="12" customHeight="1">
      <c r="A59" s="104" t="s">
        <v>105</v>
      </c>
      <c r="B59" s="105" t="s">
        <v>106</v>
      </c>
      <c r="C59" s="24"/>
      <c r="D59" s="24"/>
      <c r="E59" s="24"/>
      <c r="F59" s="24"/>
      <c r="G59" s="24"/>
      <c r="H59" s="24"/>
    </row>
    <row r="60" spans="1:8" s="109" customFormat="1" ht="12" customHeight="1">
      <c r="A60" s="107" t="s">
        <v>107</v>
      </c>
      <c r="B60" s="108" t="s">
        <v>108</v>
      </c>
      <c r="C60" s="24"/>
      <c r="D60" s="24"/>
      <c r="E60" s="24"/>
      <c r="F60" s="24"/>
      <c r="G60" s="24"/>
      <c r="H60" s="24"/>
    </row>
    <row r="61" spans="1:8" s="109" customFormat="1" ht="12" customHeight="1">
      <c r="A61" s="107" t="s">
        <v>109</v>
      </c>
      <c r="B61" s="108" t="s">
        <v>110</v>
      </c>
      <c r="C61" s="24"/>
      <c r="D61" s="24"/>
      <c r="E61" s="24"/>
      <c r="F61" s="24">
        <v>0</v>
      </c>
      <c r="G61" s="24"/>
      <c r="H61" s="24">
        <v>0</v>
      </c>
    </row>
    <row r="62" spans="1:8" s="109" customFormat="1" ht="12" customHeight="1">
      <c r="A62" s="107" t="s">
        <v>111</v>
      </c>
      <c r="B62" s="108" t="s">
        <v>112</v>
      </c>
      <c r="C62" s="24"/>
      <c r="D62" s="24"/>
      <c r="E62" s="24"/>
      <c r="F62" s="24"/>
      <c r="G62" s="24"/>
      <c r="H62" s="24"/>
    </row>
    <row r="63" spans="1:8" s="109" customFormat="1" ht="12" customHeight="1" thickBot="1">
      <c r="A63" s="103" t="s">
        <v>113</v>
      </c>
      <c r="B63" s="117" t="s">
        <v>114</v>
      </c>
      <c r="C63" s="118">
        <f>+C9+C15+C22+C29+C36+C47+C53+C58</f>
        <v>165284</v>
      </c>
      <c r="D63" s="118">
        <f>+D9+D15+D22+D29+D36+D47+D53+D58</f>
        <v>8563</v>
      </c>
      <c r="E63" s="118">
        <f>C63+D63</f>
        <v>173847</v>
      </c>
      <c r="F63" s="118">
        <f>+F9+F15+F22+F29+F36+F47+F53+F58</f>
        <v>287934</v>
      </c>
      <c r="G63" s="118">
        <f>+G9+G15+G22+G29+G36+G47+G53+G58</f>
        <v>8853</v>
      </c>
      <c r="H63" s="118">
        <f>F63+G63</f>
        <v>296787</v>
      </c>
    </row>
    <row r="64" spans="1:8" s="109" customFormat="1" ht="12" customHeight="1" thickBot="1">
      <c r="A64" s="119" t="s">
        <v>255</v>
      </c>
      <c r="B64" s="110" t="s">
        <v>116</v>
      </c>
      <c r="C64" s="12">
        <f>SUM(C65:C67)</f>
        <v>0</v>
      </c>
      <c r="D64" s="12">
        <f>SUM(D65:D67)</f>
        <v>0</v>
      </c>
      <c r="E64" s="12">
        <f>D64+C64</f>
        <v>0</v>
      </c>
      <c r="F64" s="12">
        <f>SUM(F65:F67)</f>
        <v>165</v>
      </c>
      <c r="G64" s="12">
        <f>SUM(G65:G67)</f>
        <v>0</v>
      </c>
      <c r="H64" s="12">
        <f>G64+F64</f>
        <v>165</v>
      </c>
    </row>
    <row r="65" spans="1:8" s="109" customFormat="1" ht="12" customHeight="1">
      <c r="A65" s="104" t="s">
        <v>117</v>
      </c>
      <c r="B65" s="105" t="s">
        <v>118</v>
      </c>
      <c r="C65" s="24"/>
      <c r="D65" s="24"/>
      <c r="E65" s="24">
        <f>D65+C65</f>
        <v>0</v>
      </c>
      <c r="F65" s="24"/>
      <c r="G65" s="24"/>
      <c r="H65" s="24">
        <f>G65+F65</f>
        <v>0</v>
      </c>
    </row>
    <row r="66" spans="1:8" s="109" customFormat="1" ht="12" customHeight="1">
      <c r="A66" s="107" t="s">
        <v>119</v>
      </c>
      <c r="B66" s="108" t="s">
        <v>120</v>
      </c>
      <c r="C66" s="24">
        <v>0</v>
      </c>
      <c r="D66" s="24"/>
      <c r="E66" s="24">
        <f>D66+C66</f>
        <v>0</v>
      </c>
      <c r="F66" s="24">
        <v>165</v>
      </c>
      <c r="G66" s="24"/>
      <c r="H66" s="24">
        <f>G66+F66</f>
        <v>165</v>
      </c>
    </row>
    <row r="67" spans="1:8" s="109" customFormat="1" ht="12" customHeight="1" thickBot="1">
      <c r="A67" s="111" t="s">
        <v>121</v>
      </c>
      <c r="B67" s="120" t="s">
        <v>122</v>
      </c>
      <c r="C67" s="24">
        <v>0</v>
      </c>
      <c r="D67" s="24"/>
      <c r="E67" s="24">
        <f>D67+C67</f>
        <v>0</v>
      </c>
      <c r="F67" s="24">
        <v>0</v>
      </c>
      <c r="G67" s="24"/>
      <c r="H67" s="24">
        <f>G67+F67</f>
        <v>0</v>
      </c>
    </row>
    <row r="68" spans="1:8" s="109" customFormat="1" ht="12" customHeight="1" thickBot="1">
      <c r="A68" s="119" t="s">
        <v>123</v>
      </c>
      <c r="B68" s="110" t="s">
        <v>124</v>
      </c>
      <c r="C68" s="12">
        <f aca="true" t="shared" si="7" ref="C68:H68">SUM(C69:C72)</f>
        <v>0</v>
      </c>
      <c r="D68" s="12">
        <f t="shared" si="7"/>
        <v>0</v>
      </c>
      <c r="E68" s="12">
        <f t="shared" si="7"/>
        <v>0</v>
      </c>
      <c r="F68" s="12">
        <f t="shared" si="7"/>
        <v>0</v>
      </c>
      <c r="G68" s="12">
        <f t="shared" si="7"/>
        <v>0</v>
      </c>
      <c r="H68" s="12">
        <f t="shared" si="7"/>
        <v>0</v>
      </c>
    </row>
    <row r="69" spans="1:8" s="109" customFormat="1" ht="12" customHeight="1">
      <c r="A69" s="104" t="s">
        <v>125</v>
      </c>
      <c r="B69" s="105" t="s">
        <v>126</v>
      </c>
      <c r="C69" s="24"/>
      <c r="D69" s="24"/>
      <c r="E69" s="24"/>
      <c r="F69" s="24"/>
      <c r="G69" s="24"/>
      <c r="H69" s="24"/>
    </row>
    <row r="70" spans="1:8" s="109" customFormat="1" ht="12" customHeight="1">
      <c r="A70" s="107" t="s">
        <v>127</v>
      </c>
      <c r="B70" s="108" t="s">
        <v>128</v>
      </c>
      <c r="C70" s="24"/>
      <c r="D70" s="24"/>
      <c r="E70" s="24"/>
      <c r="F70" s="24"/>
      <c r="G70" s="24"/>
      <c r="H70" s="24"/>
    </row>
    <row r="71" spans="1:8" s="109" customFormat="1" ht="12" customHeight="1">
      <c r="A71" s="107" t="s">
        <v>129</v>
      </c>
      <c r="B71" s="108" t="s">
        <v>130</v>
      </c>
      <c r="C71" s="24"/>
      <c r="D71" s="24"/>
      <c r="E71" s="24"/>
      <c r="F71" s="24"/>
      <c r="G71" s="24"/>
      <c r="H71" s="24"/>
    </row>
    <row r="72" spans="1:8" s="109" customFormat="1" ht="12" customHeight="1" thickBot="1">
      <c r="A72" s="111" t="s">
        <v>131</v>
      </c>
      <c r="B72" s="112" t="s">
        <v>132</v>
      </c>
      <c r="C72" s="24"/>
      <c r="D72" s="24"/>
      <c r="E72" s="24"/>
      <c r="F72" s="24"/>
      <c r="G72" s="24"/>
      <c r="H72" s="24"/>
    </row>
    <row r="73" spans="1:8" s="109" customFormat="1" ht="12" customHeight="1" thickBot="1">
      <c r="A73" s="119" t="s">
        <v>133</v>
      </c>
      <c r="B73" s="110" t="s">
        <v>134</v>
      </c>
      <c r="C73" s="12">
        <f>SUM(C74:C75)</f>
        <v>1573</v>
      </c>
      <c r="D73" s="12">
        <f>SUM(D74:D75)</f>
        <v>0</v>
      </c>
      <c r="E73" s="12">
        <f aca="true" t="shared" si="8" ref="E73:E79">D73+C73</f>
        <v>1573</v>
      </c>
      <c r="F73" s="12">
        <f>SUM(F74:F75)</f>
        <v>17916</v>
      </c>
      <c r="G73" s="12">
        <f>SUM(G74:G75)</f>
        <v>157</v>
      </c>
      <c r="H73" s="12">
        <f aca="true" t="shared" si="9" ref="H73:H79">G73+F73</f>
        <v>18073</v>
      </c>
    </row>
    <row r="74" spans="1:8" s="109" customFormat="1" ht="12" customHeight="1">
      <c r="A74" s="104" t="s">
        <v>135</v>
      </c>
      <c r="B74" s="105" t="s">
        <v>136</v>
      </c>
      <c r="C74" s="24">
        <v>1573</v>
      </c>
      <c r="D74" s="24"/>
      <c r="E74" s="24">
        <f t="shared" si="8"/>
        <v>1573</v>
      </c>
      <c r="F74" s="24">
        <v>17916</v>
      </c>
      <c r="G74" s="24">
        <v>157</v>
      </c>
      <c r="H74" s="24">
        <f t="shared" si="9"/>
        <v>18073</v>
      </c>
    </row>
    <row r="75" spans="1:8" s="109" customFormat="1" ht="12" customHeight="1" thickBot="1">
      <c r="A75" s="111" t="s">
        <v>137</v>
      </c>
      <c r="B75" s="112" t="s">
        <v>138</v>
      </c>
      <c r="C75" s="24"/>
      <c r="D75" s="24"/>
      <c r="E75" s="24">
        <f t="shared" si="8"/>
        <v>0</v>
      </c>
      <c r="F75" s="24"/>
      <c r="G75" s="24"/>
      <c r="H75" s="24">
        <f t="shared" si="9"/>
        <v>0</v>
      </c>
    </row>
    <row r="76" spans="1:8" s="106" customFormat="1" ht="12" customHeight="1" thickBot="1">
      <c r="A76" s="119" t="s">
        <v>139</v>
      </c>
      <c r="B76" s="110" t="s">
        <v>140</v>
      </c>
      <c r="C76" s="12">
        <f>SUM(C77:C79)</f>
        <v>0</v>
      </c>
      <c r="D76" s="12">
        <f>SUM(D77:D79)</f>
        <v>26612</v>
      </c>
      <c r="E76" s="12">
        <f t="shared" si="8"/>
        <v>26612</v>
      </c>
      <c r="F76" s="12">
        <f>SUM(F77:F79)</f>
        <v>1610</v>
      </c>
      <c r="G76" s="12">
        <f>SUM(G77:G79)</f>
        <v>27441</v>
      </c>
      <c r="H76" s="12">
        <f t="shared" si="9"/>
        <v>29051</v>
      </c>
    </row>
    <row r="77" spans="1:8" s="109" customFormat="1" ht="12" customHeight="1">
      <c r="A77" s="104" t="s">
        <v>141</v>
      </c>
      <c r="B77" s="105" t="s">
        <v>142</v>
      </c>
      <c r="C77" s="24"/>
      <c r="D77" s="24">
        <v>26612</v>
      </c>
      <c r="E77" s="24">
        <f t="shared" si="8"/>
        <v>26612</v>
      </c>
      <c r="F77" s="24">
        <v>1610</v>
      </c>
      <c r="G77" s="24">
        <v>27441</v>
      </c>
      <c r="H77" s="24">
        <f t="shared" si="9"/>
        <v>29051</v>
      </c>
    </row>
    <row r="78" spans="1:8" s="109" customFormat="1" ht="12" customHeight="1">
      <c r="A78" s="107" t="s">
        <v>143</v>
      </c>
      <c r="B78" s="108" t="s">
        <v>144</v>
      </c>
      <c r="C78" s="24"/>
      <c r="D78" s="24"/>
      <c r="E78" s="24">
        <f t="shared" si="8"/>
        <v>0</v>
      </c>
      <c r="F78" s="24"/>
      <c r="G78" s="24"/>
      <c r="H78" s="24">
        <f t="shared" si="9"/>
        <v>0</v>
      </c>
    </row>
    <row r="79" spans="1:8" s="109" customFormat="1" ht="12" customHeight="1" thickBot="1">
      <c r="A79" s="111" t="s">
        <v>145</v>
      </c>
      <c r="B79" s="112" t="s">
        <v>146</v>
      </c>
      <c r="C79" s="24"/>
      <c r="D79" s="24"/>
      <c r="E79" s="24">
        <f t="shared" si="8"/>
        <v>0</v>
      </c>
      <c r="F79" s="24"/>
      <c r="G79" s="24"/>
      <c r="H79" s="24">
        <f t="shared" si="9"/>
        <v>0</v>
      </c>
    </row>
    <row r="80" spans="1:8" s="109" customFormat="1" ht="12" customHeight="1" thickBot="1">
      <c r="A80" s="119" t="s">
        <v>147</v>
      </c>
      <c r="B80" s="110" t="s">
        <v>148</v>
      </c>
      <c r="C80" s="12">
        <f aca="true" t="shared" si="10" ref="C80:H80">SUM(C81:C84)</f>
        <v>0</v>
      </c>
      <c r="D80" s="12">
        <f t="shared" si="10"/>
        <v>0</v>
      </c>
      <c r="E80" s="12">
        <f t="shared" si="10"/>
        <v>0</v>
      </c>
      <c r="F80" s="12">
        <f t="shared" si="10"/>
        <v>0</v>
      </c>
      <c r="G80" s="12">
        <f t="shared" si="10"/>
        <v>0</v>
      </c>
      <c r="H80" s="12">
        <f t="shared" si="10"/>
        <v>0</v>
      </c>
    </row>
    <row r="81" spans="1:8" s="109" customFormat="1" ht="12" customHeight="1">
      <c r="A81" s="121" t="s">
        <v>149</v>
      </c>
      <c r="B81" s="105" t="s">
        <v>150</v>
      </c>
      <c r="C81" s="24"/>
      <c r="D81" s="24"/>
      <c r="E81" s="24"/>
      <c r="F81" s="24"/>
      <c r="G81" s="24"/>
      <c r="H81" s="24"/>
    </row>
    <row r="82" spans="1:8" s="109" customFormat="1" ht="12" customHeight="1">
      <c r="A82" s="122" t="s">
        <v>151</v>
      </c>
      <c r="B82" s="108" t="s">
        <v>152</v>
      </c>
      <c r="C82" s="24"/>
      <c r="D82" s="24"/>
      <c r="E82" s="24"/>
      <c r="F82" s="24"/>
      <c r="G82" s="24"/>
      <c r="H82" s="24"/>
    </row>
    <row r="83" spans="1:8" s="109" customFormat="1" ht="12" customHeight="1">
      <c r="A83" s="122" t="s">
        <v>153</v>
      </c>
      <c r="B83" s="108" t="s">
        <v>154</v>
      </c>
      <c r="C83" s="24"/>
      <c r="D83" s="24"/>
      <c r="E83" s="24"/>
      <c r="F83" s="24"/>
      <c r="G83" s="24"/>
      <c r="H83" s="24"/>
    </row>
    <row r="84" spans="1:8" s="106" customFormat="1" ht="12" customHeight="1" thickBot="1">
      <c r="A84" s="123" t="s">
        <v>155</v>
      </c>
      <c r="B84" s="112" t="s">
        <v>156</v>
      </c>
      <c r="C84" s="24"/>
      <c r="D84" s="24"/>
      <c r="E84" s="24"/>
      <c r="F84" s="24"/>
      <c r="G84" s="24"/>
      <c r="H84" s="24"/>
    </row>
    <row r="85" spans="1:8" s="106" customFormat="1" ht="12" customHeight="1" thickBot="1">
      <c r="A85" s="119" t="s">
        <v>157</v>
      </c>
      <c r="B85" s="110" t="s">
        <v>158</v>
      </c>
      <c r="C85" s="36"/>
      <c r="D85" s="36"/>
      <c r="E85" s="36"/>
      <c r="F85" s="36"/>
      <c r="G85" s="36"/>
      <c r="H85" s="36"/>
    </row>
    <row r="86" spans="1:8" s="106" customFormat="1" ht="12" customHeight="1" thickBot="1">
      <c r="A86" s="119" t="s">
        <v>159</v>
      </c>
      <c r="B86" s="124" t="s">
        <v>160</v>
      </c>
      <c r="C86" s="23">
        <f aca="true" t="shared" si="11" ref="C86:H86">+C64+C68+C73+C76+C80+C85</f>
        <v>1573</v>
      </c>
      <c r="D86" s="23">
        <f t="shared" si="11"/>
        <v>26612</v>
      </c>
      <c r="E86" s="23">
        <f t="shared" si="11"/>
        <v>28185</v>
      </c>
      <c r="F86" s="23">
        <f t="shared" si="11"/>
        <v>19691</v>
      </c>
      <c r="G86" s="23">
        <f t="shared" si="11"/>
        <v>27598</v>
      </c>
      <c r="H86" s="23">
        <f t="shared" si="11"/>
        <v>47289</v>
      </c>
    </row>
    <row r="87" spans="1:8" s="106" customFormat="1" ht="12" customHeight="1" thickBot="1">
      <c r="A87" s="125" t="s">
        <v>161</v>
      </c>
      <c r="B87" s="126" t="s">
        <v>256</v>
      </c>
      <c r="C87" s="23">
        <f aca="true" t="shared" si="12" ref="C87:H87">+C63+C86</f>
        <v>166857</v>
      </c>
      <c r="D87" s="23">
        <f t="shared" si="12"/>
        <v>35175</v>
      </c>
      <c r="E87" s="23">
        <f t="shared" si="12"/>
        <v>202032</v>
      </c>
      <c r="F87" s="23">
        <f t="shared" si="12"/>
        <v>307625</v>
      </c>
      <c r="G87" s="23">
        <f t="shared" si="12"/>
        <v>36451</v>
      </c>
      <c r="H87" s="23">
        <f t="shared" si="12"/>
        <v>344076</v>
      </c>
    </row>
    <row r="88" spans="1:8" s="109" customFormat="1" ht="15" customHeight="1">
      <c r="A88" s="127"/>
      <c r="B88" s="128"/>
      <c r="C88" s="129"/>
      <c r="D88" s="129"/>
      <c r="E88" s="129"/>
      <c r="F88" s="129"/>
      <c r="G88" s="129"/>
      <c r="H88" s="129"/>
    </row>
    <row r="89" spans="1:8" s="109" customFormat="1" ht="15" customHeight="1" thickBot="1">
      <c r="A89" s="127"/>
      <c r="B89" s="128"/>
      <c r="C89" s="129"/>
      <c r="D89" s="129"/>
      <c r="E89" s="129"/>
      <c r="F89" s="129"/>
      <c r="G89" s="129"/>
      <c r="H89" s="129"/>
    </row>
    <row r="90" spans="1:8" ht="24.75" thickBot="1">
      <c r="A90" s="96" t="s">
        <v>262</v>
      </c>
      <c r="B90" s="97" t="s">
        <v>253</v>
      </c>
      <c r="C90" s="467" t="s">
        <v>426</v>
      </c>
      <c r="D90" s="468"/>
      <c r="E90" s="469"/>
      <c r="F90" s="467" t="s">
        <v>438</v>
      </c>
      <c r="G90" s="468"/>
      <c r="H90" s="469"/>
    </row>
    <row r="91" spans="1:8" s="102" customFormat="1" ht="12.75" customHeight="1" thickBot="1">
      <c r="A91" s="99" t="s">
        <v>240</v>
      </c>
      <c r="B91" s="100" t="s">
        <v>241</v>
      </c>
      <c r="C91" s="101" t="s">
        <v>242</v>
      </c>
      <c r="D91" s="101" t="s">
        <v>250</v>
      </c>
      <c r="E91" s="101" t="s">
        <v>251</v>
      </c>
      <c r="F91" s="101" t="s">
        <v>252</v>
      </c>
      <c r="G91" s="101" t="s">
        <v>375</v>
      </c>
      <c r="H91" s="101" t="s">
        <v>417</v>
      </c>
    </row>
    <row r="92" spans="1:8" s="102" customFormat="1" ht="16.5" customHeight="1" thickBot="1">
      <c r="A92" s="130"/>
      <c r="B92" s="131" t="s">
        <v>257</v>
      </c>
      <c r="C92" s="132" t="s">
        <v>258</v>
      </c>
      <c r="D92" s="132" t="s">
        <v>259</v>
      </c>
      <c r="E92" s="133" t="s">
        <v>260</v>
      </c>
      <c r="F92" s="132" t="s">
        <v>258</v>
      </c>
      <c r="G92" s="132" t="s">
        <v>259</v>
      </c>
      <c r="H92" s="133" t="s">
        <v>260</v>
      </c>
    </row>
    <row r="93" spans="1:8" s="134" customFormat="1" ht="12" customHeight="1" thickBot="1">
      <c r="A93" s="7" t="s">
        <v>4</v>
      </c>
      <c r="B93" s="50" t="s">
        <v>449</v>
      </c>
      <c r="C93" s="51">
        <f>SUM(C94:C98)</f>
        <v>86076</v>
      </c>
      <c r="D93" s="51">
        <f>SUM(D94:D98)</f>
        <v>35175</v>
      </c>
      <c r="E93" s="51">
        <f aca="true" t="shared" si="13" ref="E93:E98">D93+C93</f>
        <v>121251</v>
      </c>
      <c r="F93" s="51">
        <f>SUM(F94:F98)</f>
        <v>158992</v>
      </c>
      <c r="G93" s="51">
        <f>SUM(G94:G98)</f>
        <v>36436</v>
      </c>
      <c r="H93" s="51">
        <f aca="true" t="shared" si="14" ref="H93:H98">G93+F93</f>
        <v>195428</v>
      </c>
    </row>
    <row r="94" spans="1:8" ht="12" customHeight="1" thickBot="1">
      <c r="A94" s="135" t="s">
        <v>6</v>
      </c>
      <c r="B94" s="53" t="s">
        <v>165</v>
      </c>
      <c r="C94" s="54">
        <v>26347</v>
      </c>
      <c r="D94" s="54">
        <f>43874-C94</f>
        <v>17527</v>
      </c>
      <c r="E94" s="54">
        <f t="shared" si="13"/>
        <v>43874</v>
      </c>
      <c r="F94" s="54">
        <v>58115</v>
      </c>
      <c r="G94" s="54">
        <v>17866</v>
      </c>
      <c r="H94" s="54">
        <f t="shared" si="14"/>
        <v>75981</v>
      </c>
    </row>
    <row r="95" spans="1:8" ht="12" customHeight="1" thickBot="1">
      <c r="A95" s="107" t="s">
        <v>8</v>
      </c>
      <c r="B95" s="55" t="s">
        <v>166</v>
      </c>
      <c r="C95" s="19">
        <v>5619</v>
      </c>
      <c r="D95" s="19">
        <f>10378-5619</f>
        <v>4759</v>
      </c>
      <c r="E95" s="54">
        <f t="shared" si="13"/>
        <v>10378</v>
      </c>
      <c r="F95" s="19">
        <v>9256</v>
      </c>
      <c r="G95" s="19">
        <v>4851</v>
      </c>
      <c r="H95" s="54">
        <f t="shared" si="14"/>
        <v>14107</v>
      </c>
    </row>
    <row r="96" spans="1:8" ht="12" customHeight="1" thickBot="1">
      <c r="A96" s="107" t="s">
        <v>10</v>
      </c>
      <c r="B96" s="55" t="s">
        <v>167</v>
      </c>
      <c r="C96" s="22">
        <v>31817</v>
      </c>
      <c r="D96" s="22">
        <f>44706-C96</f>
        <v>12889</v>
      </c>
      <c r="E96" s="54">
        <f t="shared" si="13"/>
        <v>44706</v>
      </c>
      <c r="F96" s="22">
        <v>50741</v>
      </c>
      <c r="G96" s="22">
        <v>13719</v>
      </c>
      <c r="H96" s="54">
        <f t="shared" si="14"/>
        <v>64460</v>
      </c>
    </row>
    <row r="97" spans="1:8" ht="12" customHeight="1" thickBot="1">
      <c r="A97" s="107" t="s">
        <v>12</v>
      </c>
      <c r="B97" s="56" t="s">
        <v>168</v>
      </c>
      <c r="C97" s="22">
        <v>4354</v>
      </c>
      <c r="D97" s="22"/>
      <c r="E97" s="54">
        <f t="shared" si="13"/>
        <v>4354</v>
      </c>
      <c r="F97" s="22">
        <v>4354</v>
      </c>
      <c r="G97" s="22"/>
      <c r="H97" s="54">
        <f t="shared" si="14"/>
        <v>4354</v>
      </c>
    </row>
    <row r="98" spans="1:8" ht="12" customHeight="1">
      <c r="A98" s="107" t="s">
        <v>169</v>
      </c>
      <c r="B98" s="57" t="s">
        <v>170</v>
      </c>
      <c r="C98" s="22">
        <f>C99+C100+C101+C102+C103+C104+C105+C106+C107+C108</f>
        <v>17939</v>
      </c>
      <c r="D98" s="22">
        <f>D99+D100+D101+D102+D103+D104+D105+D106+D107+D108</f>
        <v>0</v>
      </c>
      <c r="E98" s="54">
        <f t="shared" si="13"/>
        <v>17939</v>
      </c>
      <c r="F98" s="22">
        <v>36526</v>
      </c>
      <c r="G98" s="22">
        <f>G99+G100+G101+G102+G103+G104+G105+G106+G107+G108</f>
        <v>0</v>
      </c>
      <c r="H98" s="54">
        <f t="shared" si="14"/>
        <v>36526</v>
      </c>
    </row>
    <row r="99" spans="1:8" ht="12" customHeight="1">
      <c r="A99" s="107" t="s">
        <v>15</v>
      </c>
      <c r="B99" s="55" t="s">
        <v>171</v>
      </c>
      <c r="C99" s="22">
        <v>10</v>
      </c>
      <c r="D99" s="22"/>
      <c r="E99" s="22"/>
      <c r="F99" s="22">
        <v>3469</v>
      </c>
      <c r="G99" s="22"/>
      <c r="H99" s="22">
        <v>3469</v>
      </c>
    </row>
    <row r="100" spans="1:8" ht="12" customHeight="1">
      <c r="A100" s="107" t="s">
        <v>172</v>
      </c>
      <c r="B100" s="58" t="s">
        <v>173</v>
      </c>
      <c r="C100" s="22"/>
      <c r="D100" s="22"/>
      <c r="E100" s="22"/>
      <c r="F100" s="22"/>
      <c r="G100" s="22"/>
      <c r="H100" s="22"/>
    </row>
    <row r="101" spans="1:8" ht="12" customHeight="1">
      <c r="A101" s="107" t="s">
        <v>174</v>
      </c>
      <c r="B101" s="59" t="s">
        <v>175</v>
      </c>
      <c r="C101" s="22"/>
      <c r="D101" s="22"/>
      <c r="E101" s="22"/>
      <c r="F101" s="22"/>
      <c r="G101" s="22"/>
      <c r="H101" s="22"/>
    </row>
    <row r="102" spans="1:8" ht="12" customHeight="1">
      <c r="A102" s="107" t="s">
        <v>176</v>
      </c>
      <c r="B102" s="59" t="s">
        <v>177</v>
      </c>
      <c r="C102" s="22"/>
      <c r="D102" s="22"/>
      <c r="E102" s="22"/>
      <c r="F102" s="22"/>
      <c r="G102" s="22"/>
      <c r="H102" s="22"/>
    </row>
    <row r="103" spans="1:8" ht="12" customHeight="1">
      <c r="A103" s="107" t="s">
        <v>178</v>
      </c>
      <c r="B103" s="58" t="s">
        <v>179</v>
      </c>
      <c r="C103" s="22">
        <v>17809</v>
      </c>
      <c r="D103" s="22"/>
      <c r="E103" s="22"/>
      <c r="F103" s="22">
        <v>25650</v>
      </c>
      <c r="G103" s="22"/>
      <c r="H103" s="22">
        <v>25650</v>
      </c>
    </row>
    <row r="104" spans="1:8" ht="12" customHeight="1">
      <c r="A104" s="107" t="s">
        <v>180</v>
      </c>
      <c r="B104" s="58" t="s">
        <v>181</v>
      </c>
      <c r="C104" s="22"/>
      <c r="D104" s="22"/>
      <c r="E104" s="22"/>
      <c r="F104" s="22"/>
      <c r="G104" s="22"/>
      <c r="H104" s="22"/>
    </row>
    <row r="105" spans="1:8" ht="12" customHeight="1">
      <c r="A105" s="107" t="s">
        <v>182</v>
      </c>
      <c r="B105" s="59" t="s">
        <v>183</v>
      </c>
      <c r="C105" s="22"/>
      <c r="D105" s="22"/>
      <c r="E105" s="22"/>
      <c r="F105" s="22">
        <v>461</v>
      </c>
      <c r="G105" s="22"/>
      <c r="H105" s="22">
        <v>461</v>
      </c>
    </row>
    <row r="106" spans="1:8" ht="12" customHeight="1">
      <c r="A106" s="136" t="s">
        <v>184</v>
      </c>
      <c r="B106" s="61" t="s">
        <v>185</v>
      </c>
      <c r="C106" s="22"/>
      <c r="D106" s="22"/>
      <c r="E106" s="22"/>
      <c r="F106" s="22"/>
      <c r="G106" s="22"/>
      <c r="H106" s="22"/>
    </row>
    <row r="107" spans="1:8" ht="12" customHeight="1">
      <c r="A107" s="107" t="s">
        <v>186</v>
      </c>
      <c r="B107" s="61" t="s">
        <v>187</v>
      </c>
      <c r="C107" s="22"/>
      <c r="D107" s="22"/>
      <c r="E107" s="22"/>
      <c r="F107" s="22"/>
      <c r="G107" s="22"/>
      <c r="H107" s="22"/>
    </row>
    <row r="108" spans="1:8" ht="12" customHeight="1" thickBot="1">
      <c r="A108" s="137" t="s">
        <v>188</v>
      </c>
      <c r="B108" s="63" t="s">
        <v>189</v>
      </c>
      <c r="C108" s="64">
        <v>120</v>
      </c>
      <c r="D108" s="64"/>
      <c r="E108" s="64"/>
      <c r="F108" s="64">
        <v>6946</v>
      </c>
      <c r="G108" s="64"/>
      <c r="H108" s="64">
        <v>6946</v>
      </c>
    </row>
    <row r="109" spans="1:8" ht="12" customHeight="1" thickBot="1">
      <c r="A109" s="46" t="s">
        <v>17</v>
      </c>
      <c r="B109" s="65" t="s">
        <v>450</v>
      </c>
      <c r="C109" s="12">
        <f>+C110+C112+C114</f>
        <v>53669</v>
      </c>
      <c r="D109" s="12">
        <f>+D110+D112+D114</f>
        <v>0</v>
      </c>
      <c r="E109" s="12">
        <f>D109+C109</f>
        <v>53669</v>
      </c>
      <c r="F109" s="12">
        <f>+F110+F112+F114</f>
        <v>118440</v>
      </c>
      <c r="G109" s="12">
        <f>+G110+G112+G114</f>
        <v>15</v>
      </c>
      <c r="H109" s="12">
        <f>G109+F109</f>
        <v>118455</v>
      </c>
    </row>
    <row r="110" spans="1:8" ht="12" customHeight="1">
      <c r="A110" s="104" t="s">
        <v>19</v>
      </c>
      <c r="B110" s="55" t="s">
        <v>190</v>
      </c>
      <c r="C110" s="15">
        <v>31664</v>
      </c>
      <c r="D110" s="15"/>
      <c r="E110" s="15">
        <f>D110+C110</f>
        <v>31664</v>
      </c>
      <c r="F110" s="15">
        <v>67199</v>
      </c>
      <c r="G110" s="15">
        <v>15</v>
      </c>
      <c r="H110" s="15">
        <f>G110+F110</f>
        <v>67214</v>
      </c>
    </row>
    <row r="111" spans="1:8" ht="12" customHeight="1">
      <c r="A111" s="104" t="s">
        <v>21</v>
      </c>
      <c r="B111" s="66" t="s">
        <v>191</v>
      </c>
      <c r="C111" s="15">
        <v>31664</v>
      </c>
      <c r="D111" s="15"/>
      <c r="E111" s="15">
        <f>D111+C111</f>
        <v>31664</v>
      </c>
      <c r="F111" s="15">
        <v>31664</v>
      </c>
      <c r="G111" s="15"/>
      <c r="H111" s="15">
        <f>G111+F111</f>
        <v>31664</v>
      </c>
    </row>
    <row r="112" spans="1:8" ht="12" customHeight="1">
      <c r="A112" s="104" t="s">
        <v>23</v>
      </c>
      <c r="B112" s="66" t="s">
        <v>192</v>
      </c>
      <c r="C112" s="19"/>
      <c r="D112" s="19"/>
      <c r="E112" s="15"/>
      <c r="F112" s="19">
        <v>21236</v>
      </c>
      <c r="G112" s="19"/>
      <c r="H112" s="15">
        <v>21236</v>
      </c>
    </row>
    <row r="113" spans="1:8" ht="12" customHeight="1">
      <c r="A113" s="104" t="s">
        <v>25</v>
      </c>
      <c r="B113" s="66" t="s">
        <v>193</v>
      </c>
      <c r="C113" s="67"/>
      <c r="D113" s="67"/>
      <c r="E113" s="15"/>
      <c r="F113" s="67"/>
      <c r="G113" s="67"/>
      <c r="H113" s="15"/>
    </row>
    <row r="114" spans="1:8" ht="12" customHeight="1">
      <c r="A114" s="104" t="s">
        <v>27</v>
      </c>
      <c r="B114" s="138" t="s">
        <v>194</v>
      </c>
      <c r="C114" s="67">
        <v>22005</v>
      </c>
      <c r="D114" s="67">
        <f>D115+D116+D117+D118+D119+D120+D121+D122</f>
        <v>0</v>
      </c>
      <c r="E114" s="67">
        <v>22005</v>
      </c>
      <c r="F114" s="67">
        <v>30005</v>
      </c>
      <c r="G114" s="67">
        <f>G115+G116+G117+G118+G119+G120+G121+G122</f>
        <v>0</v>
      </c>
      <c r="H114" s="67">
        <v>30005</v>
      </c>
    </row>
    <row r="115" spans="1:8" ht="12" customHeight="1">
      <c r="A115" s="104" t="s">
        <v>29</v>
      </c>
      <c r="B115" s="139" t="s">
        <v>195</v>
      </c>
      <c r="C115" s="67"/>
      <c r="D115" s="67"/>
      <c r="E115" s="67"/>
      <c r="F115" s="67"/>
      <c r="G115" s="67"/>
      <c r="H115" s="67"/>
    </row>
    <row r="116" spans="1:8" ht="12" customHeight="1">
      <c r="A116" s="104" t="s">
        <v>196</v>
      </c>
      <c r="B116" s="70" t="s">
        <v>197</v>
      </c>
      <c r="C116" s="67"/>
      <c r="D116" s="67"/>
      <c r="E116" s="67"/>
      <c r="F116" s="67"/>
      <c r="G116" s="67"/>
      <c r="H116" s="67"/>
    </row>
    <row r="117" spans="1:8" ht="12" customHeight="1">
      <c r="A117" s="104" t="s">
        <v>198</v>
      </c>
      <c r="B117" s="59" t="s">
        <v>177</v>
      </c>
      <c r="C117" s="67"/>
      <c r="D117" s="67"/>
      <c r="E117" s="67"/>
      <c r="F117" s="67"/>
      <c r="G117" s="67"/>
      <c r="H117" s="67"/>
    </row>
    <row r="118" spans="1:8" ht="12" customHeight="1">
      <c r="A118" s="104" t="s">
        <v>199</v>
      </c>
      <c r="B118" s="59" t="s">
        <v>200</v>
      </c>
      <c r="C118" s="67">
        <v>22055</v>
      </c>
      <c r="D118" s="67"/>
      <c r="E118" s="67">
        <v>22005</v>
      </c>
      <c r="F118" s="67">
        <v>30005</v>
      </c>
      <c r="G118" s="67"/>
      <c r="H118" s="67">
        <v>30005</v>
      </c>
    </row>
    <row r="119" spans="1:8" ht="12" customHeight="1">
      <c r="A119" s="104" t="s">
        <v>201</v>
      </c>
      <c r="B119" s="59" t="s">
        <v>202</v>
      </c>
      <c r="C119" s="67"/>
      <c r="D119" s="67"/>
      <c r="E119" s="67"/>
      <c r="F119" s="67"/>
      <c r="G119" s="67"/>
      <c r="H119" s="67"/>
    </row>
    <row r="120" spans="1:8" ht="12" customHeight="1">
      <c r="A120" s="104" t="s">
        <v>203</v>
      </c>
      <c r="B120" s="59" t="s">
        <v>183</v>
      </c>
      <c r="C120" s="67"/>
      <c r="D120" s="67"/>
      <c r="E120" s="67"/>
      <c r="F120" s="67"/>
      <c r="G120" s="67"/>
      <c r="H120" s="67"/>
    </row>
    <row r="121" spans="1:8" ht="12" customHeight="1">
      <c r="A121" s="104" t="s">
        <v>204</v>
      </c>
      <c r="B121" s="59" t="s">
        <v>205</v>
      </c>
      <c r="C121" s="67"/>
      <c r="D121" s="67"/>
      <c r="E121" s="67"/>
      <c r="F121" s="67"/>
      <c r="G121" s="67"/>
      <c r="H121" s="67"/>
    </row>
    <row r="122" spans="1:8" ht="12" customHeight="1" thickBot="1">
      <c r="A122" s="136" t="s">
        <v>206</v>
      </c>
      <c r="B122" s="59" t="s">
        <v>207</v>
      </c>
      <c r="C122" s="71"/>
      <c r="D122" s="71"/>
      <c r="E122" s="71"/>
      <c r="F122" s="71"/>
      <c r="G122" s="71"/>
      <c r="H122" s="71"/>
    </row>
    <row r="123" spans="1:8" ht="12" customHeight="1" thickBot="1">
      <c r="A123" s="46" t="s">
        <v>31</v>
      </c>
      <c r="B123" s="72" t="s">
        <v>208</v>
      </c>
      <c r="C123" s="12">
        <f>+C124+C125</f>
        <v>500</v>
      </c>
      <c r="D123" s="12">
        <f>+D124+D125</f>
        <v>0</v>
      </c>
      <c r="E123" s="12">
        <f>D123+C123</f>
        <v>500</v>
      </c>
      <c r="F123" s="12">
        <f>+F124+F125</f>
        <v>1000</v>
      </c>
      <c r="G123" s="12">
        <f>+G124+G125</f>
        <v>0</v>
      </c>
      <c r="H123" s="12">
        <f>G123+F123</f>
        <v>1000</v>
      </c>
    </row>
    <row r="124" spans="1:8" ht="12" customHeight="1">
      <c r="A124" s="104" t="s">
        <v>33</v>
      </c>
      <c r="B124" s="73" t="s">
        <v>209</v>
      </c>
      <c r="C124" s="15">
        <v>500</v>
      </c>
      <c r="D124" s="15"/>
      <c r="E124" s="15">
        <f>D124+C124</f>
        <v>500</v>
      </c>
      <c r="F124" s="15">
        <v>1000</v>
      </c>
      <c r="G124" s="15"/>
      <c r="H124" s="15">
        <f>G124+F124</f>
        <v>1000</v>
      </c>
    </row>
    <row r="125" spans="1:8" ht="12" customHeight="1" thickBot="1">
      <c r="A125" s="111" t="s">
        <v>35</v>
      </c>
      <c r="B125" s="66" t="s">
        <v>210</v>
      </c>
      <c r="C125" s="22"/>
      <c r="D125" s="22"/>
      <c r="E125" s="15">
        <f>D125+C125</f>
        <v>0</v>
      </c>
      <c r="F125" s="22"/>
      <c r="G125" s="22"/>
      <c r="H125" s="15">
        <f>G125+F125</f>
        <v>0</v>
      </c>
    </row>
    <row r="126" spans="1:8" ht="12" customHeight="1" thickBot="1">
      <c r="A126" s="46" t="s">
        <v>211</v>
      </c>
      <c r="B126" s="72" t="s">
        <v>212</v>
      </c>
      <c r="C126" s="12">
        <f aca="true" t="shared" si="15" ref="C126:H126">+C93+C109+C123</f>
        <v>140245</v>
      </c>
      <c r="D126" s="12">
        <f t="shared" si="15"/>
        <v>35175</v>
      </c>
      <c r="E126" s="12">
        <f t="shared" si="15"/>
        <v>175420</v>
      </c>
      <c r="F126" s="12">
        <f t="shared" si="15"/>
        <v>278432</v>
      </c>
      <c r="G126" s="12">
        <f>+G93+G109+G123</f>
        <v>36451</v>
      </c>
      <c r="H126" s="12">
        <f t="shared" si="15"/>
        <v>314883</v>
      </c>
    </row>
    <row r="127" spans="1:8" ht="12" customHeight="1" thickBot="1">
      <c r="A127" s="46" t="s">
        <v>59</v>
      </c>
      <c r="B127" s="72" t="s">
        <v>213</v>
      </c>
      <c r="C127" s="12">
        <f aca="true" t="shared" si="16" ref="C127:H127">+C128+C129+C130</f>
        <v>0</v>
      </c>
      <c r="D127" s="12">
        <f t="shared" si="16"/>
        <v>0</v>
      </c>
      <c r="E127" s="12">
        <f t="shared" si="16"/>
        <v>0</v>
      </c>
      <c r="F127" s="12">
        <f t="shared" si="16"/>
        <v>165</v>
      </c>
      <c r="G127" s="12">
        <f t="shared" si="16"/>
        <v>0</v>
      </c>
      <c r="H127" s="12">
        <f t="shared" si="16"/>
        <v>165</v>
      </c>
    </row>
    <row r="128" spans="1:8" s="134" customFormat="1" ht="12" customHeight="1">
      <c r="A128" s="104" t="s">
        <v>61</v>
      </c>
      <c r="B128" s="73" t="s">
        <v>214</v>
      </c>
      <c r="C128" s="67"/>
      <c r="D128" s="67"/>
      <c r="E128" s="67"/>
      <c r="F128" s="67"/>
      <c r="G128" s="67"/>
      <c r="H128" s="67"/>
    </row>
    <row r="129" spans="1:8" ht="12" customHeight="1">
      <c r="A129" s="104" t="s">
        <v>63</v>
      </c>
      <c r="B129" s="73" t="s">
        <v>215</v>
      </c>
      <c r="C129" s="67"/>
      <c r="D129" s="67"/>
      <c r="E129" s="67"/>
      <c r="F129" s="67">
        <v>165</v>
      </c>
      <c r="G129" s="67"/>
      <c r="H129" s="67">
        <v>165</v>
      </c>
    </row>
    <row r="130" spans="1:8" ht="12" customHeight="1" thickBot="1">
      <c r="A130" s="136" t="s">
        <v>65</v>
      </c>
      <c r="B130" s="77" t="s">
        <v>216</v>
      </c>
      <c r="C130" s="67"/>
      <c r="D130" s="67"/>
      <c r="E130" s="67"/>
      <c r="F130" s="67"/>
      <c r="G130" s="67"/>
      <c r="H130" s="67"/>
    </row>
    <row r="131" spans="1:8" ht="12" customHeight="1" thickBot="1">
      <c r="A131" s="46" t="s">
        <v>81</v>
      </c>
      <c r="B131" s="72" t="s">
        <v>217</v>
      </c>
      <c r="C131" s="12">
        <f aca="true" t="shared" si="17" ref="C131:H131">+C132+C133+C134+C135</f>
        <v>0</v>
      </c>
      <c r="D131" s="12">
        <f t="shared" si="17"/>
        <v>0</v>
      </c>
      <c r="E131" s="12">
        <f t="shared" si="17"/>
        <v>0</v>
      </c>
      <c r="F131" s="12">
        <f t="shared" si="17"/>
        <v>0</v>
      </c>
      <c r="G131" s="12">
        <f t="shared" si="17"/>
        <v>0</v>
      </c>
      <c r="H131" s="12">
        <f t="shared" si="17"/>
        <v>0</v>
      </c>
    </row>
    <row r="132" spans="1:8" ht="12" customHeight="1">
      <c r="A132" s="104" t="s">
        <v>83</v>
      </c>
      <c r="B132" s="73" t="s">
        <v>218</v>
      </c>
      <c r="C132" s="67"/>
      <c r="D132" s="67"/>
      <c r="E132" s="67"/>
      <c r="F132" s="67"/>
      <c r="G132" s="67"/>
      <c r="H132" s="67"/>
    </row>
    <row r="133" spans="1:8" ht="12" customHeight="1">
      <c r="A133" s="104" t="s">
        <v>85</v>
      </c>
      <c r="B133" s="73" t="s">
        <v>219</v>
      </c>
      <c r="C133" s="67"/>
      <c r="D133" s="67"/>
      <c r="E133" s="67"/>
      <c r="F133" s="67"/>
      <c r="G133" s="67"/>
      <c r="H133" s="67"/>
    </row>
    <row r="134" spans="1:8" ht="12" customHeight="1">
      <c r="A134" s="104" t="s">
        <v>87</v>
      </c>
      <c r="B134" s="73" t="s">
        <v>220</v>
      </c>
      <c r="C134" s="67"/>
      <c r="D134" s="67"/>
      <c r="E134" s="67"/>
      <c r="F134" s="67"/>
      <c r="G134" s="67"/>
      <c r="H134" s="67"/>
    </row>
    <row r="135" spans="1:8" s="134" customFormat="1" ht="12" customHeight="1" thickBot="1">
      <c r="A135" s="136" t="s">
        <v>89</v>
      </c>
      <c r="B135" s="77" t="s">
        <v>221</v>
      </c>
      <c r="C135" s="67"/>
      <c r="D135" s="67"/>
      <c r="E135" s="67"/>
      <c r="F135" s="67"/>
      <c r="G135" s="67"/>
      <c r="H135" s="67"/>
    </row>
    <row r="136" spans="1:11" ht="12" customHeight="1" thickBot="1">
      <c r="A136" s="46" t="s">
        <v>222</v>
      </c>
      <c r="B136" s="72" t="s">
        <v>223</v>
      </c>
      <c r="C136" s="23">
        <f>+C137+C138+C139+C140</f>
        <v>26612</v>
      </c>
      <c r="D136" s="23">
        <f>+D137+D138+D139+D140</f>
        <v>0</v>
      </c>
      <c r="E136" s="23">
        <f>D136+C136</f>
        <v>26612</v>
      </c>
      <c r="F136" s="23">
        <f>+F137+F138+F139+F140</f>
        <v>29028</v>
      </c>
      <c r="G136" s="23">
        <f>+G137+G138+G139+G140</f>
        <v>0</v>
      </c>
      <c r="H136" s="23">
        <f>G136+F136</f>
        <v>29028</v>
      </c>
      <c r="K136" s="140"/>
    </row>
    <row r="137" spans="1:8" ht="15">
      <c r="A137" s="104" t="s">
        <v>95</v>
      </c>
      <c r="B137" s="73" t="s">
        <v>224</v>
      </c>
      <c r="C137" s="67">
        <v>26612</v>
      </c>
      <c r="D137" s="67"/>
      <c r="E137" s="67">
        <f>D137+C137</f>
        <v>26612</v>
      </c>
      <c r="F137" s="67">
        <v>27441</v>
      </c>
      <c r="G137" s="67"/>
      <c r="H137" s="67">
        <f>G137+F137</f>
        <v>27441</v>
      </c>
    </row>
    <row r="138" spans="1:8" ht="12" customHeight="1">
      <c r="A138" s="104" t="s">
        <v>97</v>
      </c>
      <c r="B138" s="73" t="s">
        <v>225</v>
      </c>
      <c r="C138" s="67"/>
      <c r="D138" s="67"/>
      <c r="E138" s="67"/>
      <c r="F138" s="67">
        <v>1587</v>
      </c>
      <c r="G138" s="67"/>
      <c r="H138" s="67">
        <v>1587</v>
      </c>
    </row>
    <row r="139" spans="1:8" s="134" customFormat="1" ht="12" customHeight="1">
      <c r="A139" s="104" t="s">
        <v>99</v>
      </c>
      <c r="B139" s="73" t="s">
        <v>226</v>
      </c>
      <c r="C139" s="67"/>
      <c r="D139" s="67"/>
      <c r="E139" s="67"/>
      <c r="F139" s="67"/>
      <c r="G139" s="67"/>
      <c r="H139" s="67"/>
    </row>
    <row r="140" spans="1:8" s="134" customFormat="1" ht="12" customHeight="1" thickBot="1">
      <c r="A140" s="136" t="s">
        <v>101</v>
      </c>
      <c r="B140" s="77" t="s">
        <v>227</v>
      </c>
      <c r="C140" s="67"/>
      <c r="D140" s="67"/>
      <c r="E140" s="67"/>
      <c r="F140" s="67"/>
      <c r="G140" s="67"/>
      <c r="H140" s="67"/>
    </row>
    <row r="141" spans="1:8" s="134" customFormat="1" ht="12" customHeight="1" thickBot="1">
      <c r="A141" s="46" t="s">
        <v>103</v>
      </c>
      <c r="B141" s="72" t="s">
        <v>228</v>
      </c>
      <c r="C141" s="141">
        <f aca="true" t="shared" si="18" ref="C141:H141">+C142+C143+C144+C145</f>
        <v>0</v>
      </c>
      <c r="D141" s="141">
        <f t="shared" si="18"/>
        <v>0</v>
      </c>
      <c r="E141" s="141">
        <f t="shared" si="18"/>
        <v>0</v>
      </c>
      <c r="F141" s="141">
        <f t="shared" si="18"/>
        <v>0</v>
      </c>
      <c r="G141" s="141">
        <f t="shared" si="18"/>
        <v>0</v>
      </c>
      <c r="H141" s="141">
        <f t="shared" si="18"/>
        <v>0</v>
      </c>
    </row>
    <row r="142" spans="1:8" s="134" customFormat="1" ht="12" customHeight="1">
      <c r="A142" s="104" t="s">
        <v>105</v>
      </c>
      <c r="B142" s="73" t="s">
        <v>229</v>
      </c>
      <c r="C142" s="67"/>
      <c r="D142" s="67"/>
      <c r="E142" s="67"/>
      <c r="F142" s="67"/>
      <c r="G142" s="67"/>
      <c r="H142" s="67"/>
    </row>
    <row r="143" spans="1:8" s="134" customFormat="1" ht="12" customHeight="1">
      <c r="A143" s="104" t="s">
        <v>107</v>
      </c>
      <c r="B143" s="73" t="s">
        <v>230</v>
      </c>
      <c r="C143" s="67"/>
      <c r="D143" s="67"/>
      <c r="E143" s="67"/>
      <c r="F143" s="67"/>
      <c r="G143" s="67"/>
      <c r="H143" s="67"/>
    </row>
    <row r="144" spans="1:8" s="134" customFormat="1" ht="12" customHeight="1">
      <c r="A144" s="104" t="s">
        <v>109</v>
      </c>
      <c r="B144" s="73" t="s">
        <v>231</v>
      </c>
      <c r="C144" s="67"/>
      <c r="D144" s="67"/>
      <c r="E144" s="67"/>
      <c r="F144" s="67"/>
      <c r="G144" s="67"/>
      <c r="H144" s="67"/>
    </row>
    <row r="145" spans="1:8" ht="12.75" customHeight="1" thickBot="1">
      <c r="A145" s="104" t="s">
        <v>111</v>
      </c>
      <c r="B145" s="73" t="s">
        <v>232</v>
      </c>
      <c r="C145" s="67"/>
      <c r="D145" s="67"/>
      <c r="E145" s="67"/>
      <c r="F145" s="67"/>
      <c r="G145" s="67"/>
      <c r="H145" s="67"/>
    </row>
    <row r="146" spans="1:8" ht="12" customHeight="1" thickBot="1">
      <c r="A146" s="46" t="s">
        <v>113</v>
      </c>
      <c r="B146" s="72" t="s">
        <v>233</v>
      </c>
      <c r="C146" s="142">
        <f aca="true" t="shared" si="19" ref="C146:H146">+C127+C131+C136+C141</f>
        <v>26612</v>
      </c>
      <c r="D146" s="142">
        <f t="shared" si="19"/>
        <v>0</v>
      </c>
      <c r="E146" s="142">
        <f t="shared" si="19"/>
        <v>26612</v>
      </c>
      <c r="F146" s="142">
        <f t="shared" si="19"/>
        <v>29193</v>
      </c>
      <c r="G146" s="142">
        <f t="shared" si="19"/>
        <v>0</v>
      </c>
      <c r="H146" s="142">
        <f t="shared" si="19"/>
        <v>29193</v>
      </c>
    </row>
    <row r="147" spans="1:8" ht="15" customHeight="1" thickBot="1">
      <c r="A147" s="143" t="s">
        <v>234</v>
      </c>
      <c r="B147" s="144" t="s">
        <v>235</v>
      </c>
      <c r="C147" s="142">
        <f aca="true" t="shared" si="20" ref="C147:H147">+C126+C146</f>
        <v>166857</v>
      </c>
      <c r="D147" s="142">
        <f t="shared" si="20"/>
        <v>35175</v>
      </c>
      <c r="E147" s="142">
        <f t="shared" si="20"/>
        <v>202032</v>
      </c>
      <c r="F147" s="142">
        <f t="shared" si="20"/>
        <v>307625</v>
      </c>
      <c r="G147" s="142">
        <f t="shared" si="20"/>
        <v>36451</v>
      </c>
      <c r="H147" s="142">
        <f t="shared" si="20"/>
        <v>344076</v>
      </c>
    </row>
    <row r="149" spans="1:8" ht="15" customHeight="1">
      <c r="A149" s="145"/>
      <c r="B149" s="146"/>
      <c r="C149" s="147"/>
      <c r="D149" s="148"/>
      <c r="E149" s="148"/>
      <c r="F149" s="147"/>
      <c r="G149" s="148"/>
      <c r="H149" s="148"/>
    </row>
    <row r="150" spans="1:8" ht="14.25" customHeight="1">
      <c r="A150" s="145"/>
      <c r="B150" s="146"/>
      <c r="C150" s="148"/>
      <c r="D150" s="148"/>
      <c r="E150" s="148"/>
      <c r="F150" s="148"/>
      <c r="G150" s="148"/>
      <c r="H150" s="148"/>
    </row>
  </sheetData>
  <sheetProtection/>
  <mergeCells count="12">
    <mergeCell ref="A7:A8"/>
    <mergeCell ref="C5:E5"/>
    <mergeCell ref="B7:B8"/>
    <mergeCell ref="C7:C8"/>
    <mergeCell ref="D7:D8"/>
    <mergeCell ref="E7:E8"/>
    <mergeCell ref="F5:H5"/>
    <mergeCell ref="F7:F8"/>
    <mergeCell ref="G7:G8"/>
    <mergeCell ref="H7:H8"/>
    <mergeCell ref="F90:H90"/>
    <mergeCell ref="C90:E90"/>
  </mergeCells>
  <printOptions/>
  <pageMargins left="0.3937007874015748" right="0.3937007874015748" top="1.141732283464567" bottom="0.5511811023622047" header="0.31496062992125984" footer="0.31496062992125984"/>
  <pageSetup horizontalDpi="600" verticalDpi="600" orientation="landscape" paperSize="9" r:id="rId1"/>
  <headerFooter>
    <oddHeader>&amp;C&amp;"-,Félkövér"&amp;9Tiszagyulaháza község 2015.évi költségvetési bevételei és kiadásai, előirányzat csoportonként és kiemelt előirányzatonként&amp;R&amp;"-,Dőlt"&amp;8
 2.melléklet a 9/2016.(V.24. 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view="pageLayout" workbookViewId="0" topLeftCell="A1">
      <selection activeCell="I1" sqref="I1"/>
    </sheetView>
  </sheetViews>
  <sheetFormatPr defaultColWidth="9.140625" defaultRowHeight="15"/>
  <cols>
    <col min="1" max="1" width="8.00390625" style="149" customWidth="1"/>
    <col min="2" max="2" width="50.140625" style="150" customWidth="1"/>
    <col min="3" max="3" width="9.7109375" style="151" customWidth="1"/>
    <col min="4" max="4" width="9.421875" style="151" customWidth="1"/>
    <col min="5" max="5" width="10.140625" style="151" customWidth="1"/>
    <col min="6" max="6" width="9.421875" style="151" customWidth="1"/>
    <col min="7" max="7" width="9.7109375" style="151" customWidth="1"/>
    <col min="8" max="8" width="9.421875" style="151" customWidth="1"/>
    <col min="9" max="9" width="10.140625" style="151" customWidth="1"/>
    <col min="10" max="10" width="9.421875" style="151" customWidth="1"/>
    <col min="11" max="16384" width="9.140625" style="98" customWidth="1"/>
  </cols>
  <sheetData>
    <row r="1" spans="1:10" s="86" customFormat="1" ht="15.75">
      <c r="A1" s="83"/>
      <c r="B1" s="84"/>
      <c r="C1" s="85"/>
      <c r="D1" s="85"/>
      <c r="E1" s="85"/>
      <c r="F1" s="85"/>
      <c r="G1" s="85"/>
      <c r="H1" s="85"/>
      <c r="I1" s="85"/>
      <c r="J1" s="85"/>
    </row>
    <row r="2" spans="1:10" s="95" customFormat="1" ht="14.25" thickBot="1">
      <c r="A2" s="93"/>
      <c r="B2" s="93"/>
      <c r="C2" s="94"/>
      <c r="D2" s="94"/>
      <c r="E2" s="94"/>
      <c r="F2" s="94"/>
      <c r="G2" s="94"/>
      <c r="H2" s="94"/>
      <c r="I2" s="94"/>
      <c r="J2" s="94" t="s">
        <v>249</v>
      </c>
    </row>
    <row r="3" spans="1:10" ht="15.75" customHeight="1" thickBot="1">
      <c r="A3" s="96" t="s">
        <v>261</v>
      </c>
      <c r="B3" s="152" t="s">
        <v>253</v>
      </c>
      <c r="C3" s="476" t="s">
        <v>426</v>
      </c>
      <c r="D3" s="468"/>
      <c r="E3" s="468"/>
      <c r="F3" s="469"/>
      <c r="G3" s="476" t="s">
        <v>438</v>
      </c>
      <c r="H3" s="468"/>
      <c r="I3" s="468"/>
      <c r="J3" s="469"/>
    </row>
    <row r="4" spans="1:10" s="102" customFormat="1" ht="16.5" thickBot="1">
      <c r="A4" s="99" t="s">
        <v>240</v>
      </c>
      <c r="B4" s="100" t="s">
        <v>241</v>
      </c>
      <c r="C4" s="101" t="s">
        <v>242</v>
      </c>
      <c r="D4" s="101" t="s">
        <v>250</v>
      </c>
      <c r="E4" s="101" t="s">
        <v>251</v>
      </c>
      <c r="F4" s="101" t="s">
        <v>252</v>
      </c>
      <c r="G4" s="101" t="s">
        <v>375</v>
      </c>
      <c r="H4" s="101" t="s">
        <v>417</v>
      </c>
      <c r="I4" s="101" t="s">
        <v>418</v>
      </c>
      <c r="J4" s="101" t="s">
        <v>419</v>
      </c>
    </row>
    <row r="5" spans="1:10" s="102" customFormat="1" ht="15.75">
      <c r="A5" s="472"/>
      <c r="B5" s="474" t="s">
        <v>254</v>
      </c>
      <c r="C5" s="470" t="s">
        <v>265</v>
      </c>
      <c r="D5" s="472" t="s">
        <v>263</v>
      </c>
      <c r="E5" s="472" t="s">
        <v>266</v>
      </c>
      <c r="F5" s="472" t="s">
        <v>267</v>
      </c>
      <c r="G5" s="470" t="s">
        <v>265</v>
      </c>
      <c r="H5" s="472" t="s">
        <v>263</v>
      </c>
      <c r="I5" s="472" t="s">
        <v>266</v>
      </c>
      <c r="J5" s="472" t="s">
        <v>267</v>
      </c>
    </row>
    <row r="6" spans="1:10" s="102" customFormat="1" ht="16.5" thickBot="1">
      <c r="A6" s="473"/>
      <c r="B6" s="475"/>
      <c r="C6" s="471"/>
      <c r="D6" s="473"/>
      <c r="E6" s="473"/>
      <c r="F6" s="473"/>
      <c r="G6" s="471"/>
      <c r="H6" s="473"/>
      <c r="I6" s="473"/>
      <c r="J6" s="473"/>
    </row>
    <row r="7" spans="1:10" s="102" customFormat="1" ht="16.5" thickBot="1">
      <c r="A7" s="103" t="s">
        <v>4</v>
      </c>
      <c r="B7" s="11" t="s">
        <v>5</v>
      </c>
      <c r="C7" s="12">
        <f>D7+E7+F7</f>
        <v>0</v>
      </c>
      <c r="D7" s="12">
        <f>D8+D9+D10+D11</f>
        <v>0</v>
      </c>
      <c r="E7" s="12">
        <f>E8+E9+E10+E11</f>
        <v>0</v>
      </c>
      <c r="F7" s="12">
        <f>F8+F9+F10+F11</f>
        <v>0</v>
      </c>
      <c r="G7" s="12">
        <f>H7+I7+J7</f>
        <v>0</v>
      </c>
      <c r="H7" s="12">
        <f>H8+H9+H10+H11</f>
        <v>0</v>
      </c>
      <c r="I7" s="12">
        <f>I8+I9+I10+I11</f>
        <v>0</v>
      </c>
      <c r="J7" s="12">
        <f>J8+J9+J10+J11</f>
        <v>0</v>
      </c>
    </row>
    <row r="8" spans="1:10" s="106" customFormat="1" ht="15">
      <c r="A8" s="104" t="s">
        <v>6</v>
      </c>
      <c r="B8" s="105" t="s">
        <v>7</v>
      </c>
      <c r="C8" s="15"/>
      <c r="D8" s="15"/>
      <c r="E8" s="15"/>
      <c r="F8" s="15"/>
      <c r="G8" s="15"/>
      <c r="H8" s="15"/>
      <c r="I8" s="15"/>
      <c r="J8" s="15"/>
    </row>
    <row r="9" spans="1:10" s="109" customFormat="1" ht="15">
      <c r="A9" s="107" t="s">
        <v>8</v>
      </c>
      <c r="B9" s="108" t="s">
        <v>9</v>
      </c>
      <c r="C9" s="19"/>
      <c r="D9" s="19"/>
      <c r="E9" s="15"/>
      <c r="F9" s="15"/>
      <c r="G9" s="19"/>
      <c r="H9" s="19"/>
      <c r="I9" s="15"/>
      <c r="J9" s="15"/>
    </row>
    <row r="10" spans="1:10" s="109" customFormat="1" ht="15">
      <c r="A10" s="107" t="s">
        <v>10</v>
      </c>
      <c r="B10" s="108" t="s">
        <v>11</v>
      </c>
      <c r="C10" s="19"/>
      <c r="D10" s="19"/>
      <c r="E10" s="15"/>
      <c r="F10" s="15"/>
      <c r="G10" s="19"/>
      <c r="H10" s="19"/>
      <c r="I10" s="15"/>
      <c r="J10" s="15"/>
    </row>
    <row r="11" spans="1:10" s="109" customFormat="1" ht="15">
      <c r="A11" s="107" t="s">
        <v>12</v>
      </c>
      <c r="B11" s="108" t="s">
        <v>13</v>
      </c>
      <c r="C11" s="19"/>
      <c r="D11" s="19"/>
      <c r="E11" s="15"/>
      <c r="F11" s="15"/>
      <c r="G11" s="19"/>
      <c r="H11" s="19"/>
      <c r="I11" s="15"/>
      <c r="J11" s="15"/>
    </row>
    <row r="12" spans="1:10" s="109" customFormat="1" ht="15.75" thickBot="1">
      <c r="A12" s="107" t="s">
        <v>14</v>
      </c>
      <c r="B12" s="108" t="s">
        <v>425</v>
      </c>
      <c r="C12" s="153"/>
      <c r="D12" s="153"/>
      <c r="E12" s="153"/>
      <c r="F12" s="153"/>
      <c r="G12" s="153"/>
      <c r="H12" s="153"/>
      <c r="I12" s="153"/>
      <c r="J12" s="153"/>
    </row>
    <row r="13" spans="1:10" s="106" customFormat="1" ht="21.75" thickBot="1">
      <c r="A13" s="46" t="s">
        <v>17</v>
      </c>
      <c r="B13" s="110" t="s">
        <v>18</v>
      </c>
      <c r="C13" s="12">
        <f>+C14+C15+C16+C17+C18</f>
        <v>0</v>
      </c>
      <c r="D13" s="12">
        <f>+D14+D15+D16+D17+D18</f>
        <v>0</v>
      </c>
      <c r="E13" s="12">
        <f>C13+D13</f>
        <v>0</v>
      </c>
      <c r="F13" s="12">
        <f>D13+E13</f>
        <v>0</v>
      </c>
      <c r="G13" s="12">
        <f>+G14+G15+G16+G17+G18</f>
        <v>0</v>
      </c>
      <c r="H13" s="12">
        <f>+H14+H15+H16+H17+H18</f>
        <v>0</v>
      </c>
      <c r="I13" s="12">
        <f aca="true" t="shared" si="0" ref="I13:J19">G13+H13</f>
        <v>0</v>
      </c>
      <c r="J13" s="12">
        <f t="shared" si="0"/>
        <v>0</v>
      </c>
    </row>
    <row r="14" spans="1:10" s="106" customFormat="1" ht="15">
      <c r="A14" s="104" t="s">
        <v>19</v>
      </c>
      <c r="B14" s="105" t="s">
        <v>20</v>
      </c>
      <c r="C14" s="15"/>
      <c r="D14" s="15"/>
      <c r="E14" s="15">
        <f>C14+D14</f>
        <v>0</v>
      </c>
      <c r="F14" s="15">
        <f>D14+E14</f>
        <v>0</v>
      </c>
      <c r="G14" s="15"/>
      <c r="H14" s="15"/>
      <c r="I14" s="15">
        <f t="shared" si="0"/>
        <v>0</v>
      </c>
      <c r="J14" s="15">
        <f t="shared" si="0"/>
        <v>0</v>
      </c>
    </row>
    <row r="15" spans="1:10" s="106" customFormat="1" ht="15">
      <c r="A15" s="107" t="s">
        <v>21</v>
      </c>
      <c r="B15" s="108" t="s">
        <v>22</v>
      </c>
      <c r="C15" s="19"/>
      <c r="D15" s="19"/>
      <c r="E15" s="15">
        <f aca="true" t="shared" si="1" ref="E15:F19">C15+D15</f>
        <v>0</v>
      </c>
      <c r="F15" s="15">
        <f t="shared" si="1"/>
        <v>0</v>
      </c>
      <c r="G15" s="19"/>
      <c r="H15" s="19"/>
      <c r="I15" s="15">
        <f t="shared" si="0"/>
        <v>0</v>
      </c>
      <c r="J15" s="15">
        <f t="shared" si="0"/>
        <v>0</v>
      </c>
    </row>
    <row r="16" spans="1:10" s="106" customFormat="1" ht="15">
      <c r="A16" s="107" t="s">
        <v>23</v>
      </c>
      <c r="B16" s="108" t="s">
        <v>24</v>
      </c>
      <c r="C16" s="19"/>
      <c r="D16" s="19"/>
      <c r="E16" s="15">
        <f t="shared" si="1"/>
        <v>0</v>
      </c>
      <c r="F16" s="15">
        <f t="shared" si="1"/>
        <v>0</v>
      </c>
      <c r="G16" s="19"/>
      <c r="H16" s="19"/>
      <c r="I16" s="15">
        <f t="shared" si="0"/>
        <v>0</v>
      </c>
      <c r="J16" s="15">
        <f t="shared" si="0"/>
        <v>0</v>
      </c>
    </row>
    <row r="17" spans="1:10" s="106" customFormat="1" ht="15">
      <c r="A17" s="107" t="s">
        <v>25</v>
      </c>
      <c r="B17" s="108" t="s">
        <v>26</v>
      </c>
      <c r="C17" s="19"/>
      <c r="D17" s="19"/>
      <c r="E17" s="15">
        <f t="shared" si="1"/>
        <v>0</v>
      </c>
      <c r="F17" s="15">
        <f t="shared" si="1"/>
        <v>0</v>
      </c>
      <c r="G17" s="19"/>
      <c r="H17" s="19"/>
      <c r="I17" s="15">
        <f t="shared" si="0"/>
        <v>0</v>
      </c>
      <c r="J17" s="15">
        <f t="shared" si="0"/>
        <v>0</v>
      </c>
    </row>
    <row r="18" spans="1:10" s="106" customFormat="1" ht="15">
      <c r="A18" s="107" t="s">
        <v>27</v>
      </c>
      <c r="B18" s="108" t="s">
        <v>28</v>
      </c>
      <c r="C18" s="19"/>
      <c r="D18" s="19"/>
      <c r="E18" s="15">
        <f t="shared" si="1"/>
        <v>0</v>
      </c>
      <c r="F18" s="15">
        <f t="shared" si="1"/>
        <v>0</v>
      </c>
      <c r="G18" s="19"/>
      <c r="H18" s="19"/>
      <c r="I18" s="15">
        <f t="shared" si="0"/>
        <v>0</v>
      </c>
      <c r="J18" s="15">
        <f t="shared" si="0"/>
        <v>0</v>
      </c>
    </row>
    <row r="19" spans="1:10" s="109" customFormat="1" ht="15.75" thickBot="1">
      <c r="A19" s="111" t="s">
        <v>29</v>
      </c>
      <c r="B19" s="112" t="s">
        <v>30</v>
      </c>
      <c r="C19" s="22"/>
      <c r="D19" s="22"/>
      <c r="E19" s="15">
        <f t="shared" si="1"/>
        <v>0</v>
      </c>
      <c r="F19" s="15">
        <f t="shared" si="1"/>
        <v>0</v>
      </c>
      <c r="G19" s="22"/>
      <c r="H19" s="22"/>
      <c r="I19" s="15">
        <f t="shared" si="0"/>
        <v>0</v>
      </c>
      <c r="J19" s="15">
        <f t="shared" si="0"/>
        <v>0</v>
      </c>
    </row>
    <row r="20" spans="1:10" s="109" customFormat="1" ht="21.75" thickBot="1">
      <c r="A20" s="46" t="s">
        <v>31</v>
      </c>
      <c r="B20" s="11" t="s">
        <v>32</v>
      </c>
      <c r="C20" s="12">
        <f>+C21+C22+C23+C24+C25</f>
        <v>0</v>
      </c>
      <c r="D20" s="12">
        <f>+D21+D22+D23+D24+D25</f>
        <v>0</v>
      </c>
      <c r="E20" s="12">
        <f>D20+C20</f>
        <v>0</v>
      </c>
      <c r="F20" s="12">
        <f>E20+D20</f>
        <v>0</v>
      </c>
      <c r="G20" s="12">
        <f>+G21+G22+G23+G24+G25</f>
        <v>0</v>
      </c>
      <c r="H20" s="12">
        <f>+H21+H22+H23+H24+H25</f>
        <v>0</v>
      </c>
      <c r="I20" s="12">
        <f aca="true" t="shared" si="2" ref="I20:I33">H20+G20</f>
        <v>0</v>
      </c>
      <c r="J20" s="12">
        <f aca="true" t="shared" si="3" ref="J20:J33">I20+H20</f>
        <v>0</v>
      </c>
    </row>
    <row r="21" spans="1:10" s="109" customFormat="1" ht="15">
      <c r="A21" s="104" t="s">
        <v>33</v>
      </c>
      <c r="B21" s="105" t="s">
        <v>34</v>
      </c>
      <c r="C21" s="15"/>
      <c r="D21" s="15"/>
      <c r="E21" s="15">
        <f>D21+C21</f>
        <v>0</v>
      </c>
      <c r="F21" s="15">
        <f>E21+D21</f>
        <v>0</v>
      </c>
      <c r="G21" s="15"/>
      <c r="H21" s="15"/>
      <c r="I21" s="15">
        <f t="shared" si="2"/>
        <v>0</v>
      </c>
      <c r="J21" s="15">
        <f t="shared" si="3"/>
        <v>0</v>
      </c>
    </row>
    <row r="22" spans="1:10" s="106" customFormat="1" ht="15">
      <c r="A22" s="107" t="s">
        <v>35</v>
      </c>
      <c r="B22" s="108" t="s">
        <v>36</v>
      </c>
      <c r="C22" s="19"/>
      <c r="D22" s="19"/>
      <c r="E22" s="15">
        <f aca="true" t="shared" si="4" ref="E22:F26">D22+C22</f>
        <v>0</v>
      </c>
      <c r="F22" s="15">
        <f t="shared" si="4"/>
        <v>0</v>
      </c>
      <c r="G22" s="19"/>
      <c r="H22" s="19"/>
      <c r="I22" s="15">
        <f t="shared" si="2"/>
        <v>0</v>
      </c>
      <c r="J22" s="15">
        <f t="shared" si="3"/>
        <v>0</v>
      </c>
    </row>
    <row r="23" spans="1:10" s="109" customFormat="1" ht="22.5">
      <c r="A23" s="107" t="s">
        <v>37</v>
      </c>
      <c r="B23" s="108" t="s">
        <v>38</v>
      </c>
      <c r="C23" s="19"/>
      <c r="D23" s="19"/>
      <c r="E23" s="15">
        <f t="shared" si="4"/>
        <v>0</v>
      </c>
      <c r="F23" s="15">
        <f t="shared" si="4"/>
        <v>0</v>
      </c>
      <c r="G23" s="19"/>
      <c r="H23" s="19"/>
      <c r="I23" s="15">
        <f t="shared" si="2"/>
        <v>0</v>
      </c>
      <c r="J23" s="15">
        <f t="shared" si="3"/>
        <v>0</v>
      </c>
    </row>
    <row r="24" spans="1:10" s="109" customFormat="1" ht="22.5">
      <c r="A24" s="107" t="s">
        <v>39</v>
      </c>
      <c r="B24" s="108" t="s">
        <v>40</v>
      </c>
      <c r="C24" s="19"/>
      <c r="D24" s="19"/>
      <c r="E24" s="15">
        <f t="shared" si="4"/>
        <v>0</v>
      </c>
      <c r="F24" s="15">
        <f t="shared" si="4"/>
        <v>0</v>
      </c>
      <c r="G24" s="19"/>
      <c r="H24" s="19"/>
      <c r="I24" s="15">
        <f t="shared" si="2"/>
        <v>0</v>
      </c>
      <c r="J24" s="15">
        <f t="shared" si="3"/>
        <v>0</v>
      </c>
    </row>
    <row r="25" spans="1:10" s="109" customFormat="1" ht="15">
      <c r="A25" s="107" t="s">
        <v>41</v>
      </c>
      <c r="B25" s="108" t="s">
        <v>42</v>
      </c>
      <c r="C25" s="19">
        <f>C26</f>
        <v>0</v>
      </c>
      <c r="D25" s="19"/>
      <c r="E25" s="15">
        <f>D25+C25</f>
        <v>0</v>
      </c>
      <c r="F25" s="15">
        <f>E25+D25</f>
        <v>0</v>
      </c>
      <c r="G25" s="19">
        <f>G26</f>
        <v>0</v>
      </c>
      <c r="H25" s="19"/>
      <c r="I25" s="15">
        <f t="shared" si="2"/>
        <v>0</v>
      </c>
      <c r="J25" s="15">
        <f t="shared" si="3"/>
        <v>0</v>
      </c>
    </row>
    <row r="26" spans="1:10" s="109" customFormat="1" ht="15.75" thickBot="1">
      <c r="A26" s="111" t="s">
        <v>43</v>
      </c>
      <c r="B26" s="112" t="s">
        <v>44</v>
      </c>
      <c r="C26" s="22">
        <v>0</v>
      </c>
      <c r="D26" s="22"/>
      <c r="E26" s="15">
        <f t="shared" si="4"/>
        <v>0</v>
      </c>
      <c r="F26" s="15">
        <f t="shared" si="4"/>
        <v>0</v>
      </c>
      <c r="G26" s="22">
        <v>0</v>
      </c>
      <c r="H26" s="22"/>
      <c r="I26" s="15">
        <f t="shared" si="2"/>
        <v>0</v>
      </c>
      <c r="J26" s="15">
        <f t="shared" si="3"/>
        <v>0</v>
      </c>
    </row>
    <row r="27" spans="1:10" s="109" customFormat="1" ht="15.75" thickBot="1">
      <c r="A27" s="46" t="s">
        <v>45</v>
      </c>
      <c r="B27" s="11" t="s">
        <v>46</v>
      </c>
      <c r="C27" s="23">
        <f>+C28+C31+C32+C33</f>
        <v>0</v>
      </c>
      <c r="D27" s="23">
        <f>+D28+D31+D32+D33</f>
        <v>0</v>
      </c>
      <c r="E27" s="23">
        <f>D27+C27</f>
        <v>0</v>
      </c>
      <c r="F27" s="23">
        <f>E27+D27</f>
        <v>0</v>
      </c>
      <c r="G27" s="23">
        <f>+G28+G31+G32+G33</f>
        <v>0</v>
      </c>
      <c r="H27" s="23">
        <f>+H28+H31+H32+H33</f>
        <v>0</v>
      </c>
      <c r="I27" s="23">
        <f t="shared" si="2"/>
        <v>0</v>
      </c>
      <c r="J27" s="23">
        <f t="shared" si="3"/>
        <v>0</v>
      </c>
    </row>
    <row r="28" spans="1:10" s="109" customFormat="1" ht="15.75" thickBot="1">
      <c r="A28" s="104" t="s">
        <v>47</v>
      </c>
      <c r="B28" s="105" t="s">
        <v>48</v>
      </c>
      <c r="C28" s="113">
        <f>+C29+C30</f>
        <v>0</v>
      </c>
      <c r="D28" s="113">
        <f>+D29+D30</f>
        <v>0</v>
      </c>
      <c r="E28" s="154">
        <f>D28+C28</f>
        <v>0</v>
      </c>
      <c r="F28" s="154">
        <f>E28+D28</f>
        <v>0</v>
      </c>
      <c r="G28" s="113">
        <f>+G29+G30</f>
        <v>0</v>
      </c>
      <c r="H28" s="113">
        <f>+H29+H30</f>
        <v>0</v>
      </c>
      <c r="I28" s="154">
        <f t="shared" si="2"/>
        <v>0</v>
      </c>
      <c r="J28" s="154">
        <f t="shared" si="3"/>
        <v>0</v>
      </c>
    </row>
    <row r="29" spans="1:10" s="109" customFormat="1" ht="15.75" thickBot="1">
      <c r="A29" s="107" t="s">
        <v>49</v>
      </c>
      <c r="B29" s="108" t="s">
        <v>50</v>
      </c>
      <c r="C29" s="19"/>
      <c r="D29" s="155"/>
      <c r="E29" s="156">
        <f aca="true" t="shared" si="5" ref="E29:F33">D29+C29</f>
        <v>0</v>
      </c>
      <c r="F29" s="157">
        <f t="shared" si="5"/>
        <v>0</v>
      </c>
      <c r="G29" s="19"/>
      <c r="H29" s="155"/>
      <c r="I29" s="156">
        <f t="shared" si="2"/>
        <v>0</v>
      </c>
      <c r="J29" s="157">
        <f t="shared" si="3"/>
        <v>0</v>
      </c>
    </row>
    <row r="30" spans="1:10" s="109" customFormat="1" ht="15.75" thickBot="1">
      <c r="A30" s="107" t="s">
        <v>51</v>
      </c>
      <c r="B30" s="108" t="s">
        <v>52</v>
      </c>
      <c r="C30" s="19"/>
      <c r="D30" s="155"/>
      <c r="E30" s="158">
        <f t="shared" si="5"/>
        <v>0</v>
      </c>
      <c r="F30" s="159">
        <f t="shared" si="5"/>
        <v>0</v>
      </c>
      <c r="G30" s="19"/>
      <c r="H30" s="155"/>
      <c r="I30" s="158">
        <f t="shared" si="2"/>
        <v>0</v>
      </c>
      <c r="J30" s="159">
        <f t="shared" si="3"/>
        <v>0</v>
      </c>
    </row>
    <row r="31" spans="1:10" s="109" customFormat="1" ht="15">
      <c r="A31" s="107" t="s">
        <v>53</v>
      </c>
      <c r="B31" s="108" t="s">
        <v>54</v>
      </c>
      <c r="C31" s="19"/>
      <c r="D31" s="19"/>
      <c r="E31" s="113">
        <f t="shared" si="5"/>
        <v>0</v>
      </c>
      <c r="F31" s="113">
        <f t="shared" si="5"/>
        <v>0</v>
      </c>
      <c r="G31" s="19"/>
      <c r="H31" s="19"/>
      <c r="I31" s="113">
        <f t="shared" si="2"/>
        <v>0</v>
      </c>
      <c r="J31" s="113">
        <f t="shared" si="3"/>
        <v>0</v>
      </c>
    </row>
    <row r="32" spans="1:10" s="109" customFormat="1" ht="15">
      <c r="A32" s="107" t="s">
        <v>55</v>
      </c>
      <c r="B32" s="108" t="s">
        <v>56</v>
      </c>
      <c r="C32" s="19"/>
      <c r="D32" s="19"/>
      <c r="E32" s="113">
        <f t="shared" si="5"/>
        <v>0</v>
      </c>
      <c r="F32" s="113">
        <f t="shared" si="5"/>
        <v>0</v>
      </c>
      <c r="G32" s="19"/>
      <c r="H32" s="19"/>
      <c r="I32" s="113">
        <f t="shared" si="2"/>
        <v>0</v>
      </c>
      <c r="J32" s="113">
        <f t="shared" si="3"/>
        <v>0</v>
      </c>
    </row>
    <row r="33" spans="1:10" s="109" customFormat="1" ht="15.75" thickBot="1">
      <c r="A33" s="111" t="s">
        <v>57</v>
      </c>
      <c r="B33" s="112" t="s">
        <v>58</v>
      </c>
      <c r="C33" s="22"/>
      <c r="D33" s="22"/>
      <c r="E33" s="113">
        <f t="shared" si="5"/>
        <v>0</v>
      </c>
      <c r="F33" s="113">
        <f t="shared" si="5"/>
        <v>0</v>
      </c>
      <c r="G33" s="22"/>
      <c r="H33" s="22"/>
      <c r="I33" s="113">
        <f t="shared" si="2"/>
        <v>0</v>
      </c>
      <c r="J33" s="113">
        <f t="shared" si="3"/>
        <v>0</v>
      </c>
    </row>
    <row r="34" spans="1:10" s="109" customFormat="1" ht="15.75" thickBot="1">
      <c r="A34" s="46" t="s">
        <v>59</v>
      </c>
      <c r="B34" s="11" t="s">
        <v>60</v>
      </c>
      <c r="C34" s="12">
        <f>D34+E34+F34</f>
        <v>8563</v>
      </c>
      <c r="D34" s="12">
        <f>D35+D36+D37+D38+D39+D40+D41+D42+D43+D44</f>
        <v>1663</v>
      </c>
      <c r="E34" s="12">
        <f>E35+E36+E37+E38+E39+E40+E41+E42+E43+E44</f>
        <v>6900</v>
      </c>
      <c r="F34" s="12">
        <f>F35+F36+F37+F38+F39+F40+F41+F42+F43+F44</f>
        <v>0</v>
      </c>
      <c r="G34" s="12">
        <f>H34+I34+J34</f>
        <v>8853</v>
      </c>
      <c r="H34" s="12">
        <f>H35+H36+H37+H38+H39+H40+H41+H42+H43+H44</f>
        <v>2022</v>
      </c>
      <c r="I34" s="12">
        <f>I35+I36+I37+I38+I39+I40+I41+I42+I43+I44</f>
        <v>6831</v>
      </c>
      <c r="J34" s="12">
        <f>J35+J36+J37+J38+J39+J40+J41+J42+J43+J44</f>
        <v>0</v>
      </c>
    </row>
    <row r="35" spans="1:10" s="109" customFormat="1" ht="15">
      <c r="A35" s="104" t="s">
        <v>61</v>
      </c>
      <c r="B35" s="105" t="s">
        <v>62</v>
      </c>
      <c r="C35" s="15">
        <f>D35+E35+F35</f>
        <v>0</v>
      </c>
      <c r="D35" s="15"/>
      <c r="E35" s="15">
        <v>0</v>
      </c>
      <c r="F35" s="15">
        <v>0</v>
      </c>
      <c r="G35" s="15">
        <f>H35+I35+J35</f>
        <v>0</v>
      </c>
      <c r="H35" s="15"/>
      <c r="I35" s="15">
        <v>0</v>
      </c>
      <c r="J35" s="15">
        <v>0</v>
      </c>
    </row>
    <row r="36" spans="1:10" s="109" customFormat="1" ht="15">
      <c r="A36" s="107" t="s">
        <v>63</v>
      </c>
      <c r="B36" s="108" t="s">
        <v>64</v>
      </c>
      <c r="C36" s="15">
        <f aca="true" t="shared" si="6" ref="C36:C44">D36+E36+F36</f>
        <v>5436</v>
      </c>
      <c r="D36" s="19"/>
      <c r="E36" s="15">
        <v>5436</v>
      </c>
      <c r="F36" s="15">
        <v>0</v>
      </c>
      <c r="G36" s="15">
        <f aca="true" t="shared" si="7" ref="G36:G44">H36+I36+J36</f>
        <v>5331</v>
      </c>
      <c r="H36" s="19"/>
      <c r="I36" s="15">
        <v>5331</v>
      </c>
      <c r="J36" s="15">
        <v>0</v>
      </c>
    </row>
    <row r="37" spans="1:10" s="109" customFormat="1" ht="15">
      <c r="A37" s="107" t="s">
        <v>65</v>
      </c>
      <c r="B37" s="108" t="s">
        <v>66</v>
      </c>
      <c r="C37" s="15">
        <f t="shared" si="6"/>
        <v>0</v>
      </c>
      <c r="D37" s="19"/>
      <c r="E37" s="15">
        <v>0</v>
      </c>
      <c r="F37" s="15">
        <v>0</v>
      </c>
      <c r="G37" s="15">
        <f t="shared" si="7"/>
        <v>0</v>
      </c>
      <c r="H37" s="19"/>
      <c r="I37" s="15">
        <v>0</v>
      </c>
      <c r="J37" s="15">
        <v>0</v>
      </c>
    </row>
    <row r="38" spans="1:10" s="109" customFormat="1" ht="15">
      <c r="A38" s="107" t="s">
        <v>67</v>
      </c>
      <c r="B38" s="108" t="s">
        <v>68</v>
      </c>
      <c r="C38" s="15">
        <f t="shared" si="6"/>
        <v>0</v>
      </c>
      <c r="D38" s="19"/>
      <c r="E38" s="15">
        <v>0</v>
      </c>
      <c r="F38" s="15">
        <v>0</v>
      </c>
      <c r="G38" s="15">
        <f t="shared" si="7"/>
        <v>0</v>
      </c>
      <c r="H38" s="19"/>
      <c r="I38" s="15">
        <v>0</v>
      </c>
      <c r="J38" s="15">
        <v>0</v>
      </c>
    </row>
    <row r="39" spans="1:10" s="109" customFormat="1" ht="15">
      <c r="A39" s="107" t="s">
        <v>69</v>
      </c>
      <c r="B39" s="108" t="s">
        <v>70</v>
      </c>
      <c r="C39" s="15">
        <f t="shared" si="6"/>
        <v>1309</v>
      </c>
      <c r="D39" s="19">
        <v>1309</v>
      </c>
      <c r="E39" s="15">
        <v>0</v>
      </c>
      <c r="F39" s="15">
        <v>0</v>
      </c>
      <c r="G39" s="15">
        <f t="shared" si="7"/>
        <v>1600</v>
      </c>
      <c r="H39" s="19">
        <v>1600</v>
      </c>
      <c r="I39" s="15">
        <v>0</v>
      </c>
      <c r="J39" s="15">
        <v>0</v>
      </c>
    </row>
    <row r="40" spans="1:10" s="109" customFormat="1" ht="15">
      <c r="A40" s="107" t="s">
        <v>71</v>
      </c>
      <c r="B40" s="108" t="s">
        <v>72</v>
      </c>
      <c r="C40" s="15">
        <f t="shared" si="6"/>
        <v>1818</v>
      </c>
      <c r="D40" s="19">
        <f>1818-E40</f>
        <v>354</v>
      </c>
      <c r="E40" s="15">
        <v>1464</v>
      </c>
      <c r="F40" s="15">
        <v>0</v>
      </c>
      <c r="G40" s="15">
        <f t="shared" si="7"/>
        <v>1912</v>
      </c>
      <c r="H40" s="19">
        <v>412</v>
      </c>
      <c r="I40" s="15">
        <v>1500</v>
      </c>
      <c r="J40" s="15">
        <v>0</v>
      </c>
    </row>
    <row r="41" spans="1:10" s="109" customFormat="1" ht="15">
      <c r="A41" s="107" t="s">
        <v>73</v>
      </c>
      <c r="B41" s="108" t="s">
        <v>74</v>
      </c>
      <c r="C41" s="15">
        <f t="shared" si="6"/>
        <v>0</v>
      </c>
      <c r="D41" s="19"/>
      <c r="E41" s="15">
        <v>0</v>
      </c>
      <c r="F41" s="15">
        <v>0</v>
      </c>
      <c r="G41" s="15">
        <f t="shared" si="7"/>
        <v>0</v>
      </c>
      <c r="H41" s="19"/>
      <c r="I41" s="15">
        <v>0</v>
      </c>
      <c r="J41" s="15">
        <v>0</v>
      </c>
    </row>
    <row r="42" spans="1:10" s="109" customFormat="1" ht="15">
      <c r="A42" s="107" t="s">
        <v>75</v>
      </c>
      <c r="B42" s="108" t="s">
        <v>76</v>
      </c>
      <c r="C42" s="15">
        <f t="shared" si="6"/>
        <v>0</v>
      </c>
      <c r="D42" s="19"/>
      <c r="E42" s="15">
        <v>0</v>
      </c>
      <c r="F42" s="15">
        <v>0</v>
      </c>
      <c r="G42" s="15">
        <f t="shared" si="7"/>
        <v>10</v>
      </c>
      <c r="H42" s="19">
        <v>10</v>
      </c>
      <c r="I42" s="15">
        <v>0</v>
      </c>
      <c r="J42" s="15">
        <v>0</v>
      </c>
    </row>
    <row r="43" spans="1:10" s="109" customFormat="1" ht="15">
      <c r="A43" s="107" t="s">
        <v>77</v>
      </c>
      <c r="B43" s="108" t="s">
        <v>78</v>
      </c>
      <c r="C43" s="15">
        <f t="shared" si="6"/>
        <v>0</v>
      </c>
      <c r="D43" s="24"/>
      <c r="E43" s="15">
        <v>0</v>
      </c>
      <c r="F43" s="15">
        <v>0</v>
      </c>
      <c r="G43" s="15">
        <f t="shared" si="7"/>
        <v>0</v>
      </c>
      <c r="H43" s="24"/>
      <c r="I43" s="15">
        <v>0</v>
      </c>
      <c r="J43" s="15">
        <v>0</v>
      </c>
    </row>
    <row r="44" spans="1:10" s="109" customFormat="1" ht="15.75" thickBot="1">
      <c r="A44" s="111" t="s">
        <v>79</v>
      </c>
      <c r="B44" s="112" t="s">
        <v>80</v>
      </c>
      <c r="C44" s="15">
        <f t="shared" si="6"/>
        <v>0</v>
      </c>
      <c r="D44" s="29"/>
      <c r="E44" s="114">
        <v>0</v>
      </c>
      <c r="F44" s="114">
        <v>0</v>
      </c>
      <c r="G44" s="15">
        <f t="shared" si="7"/>
        <v>0</v>
      </c>
      <c r="H44" s="29"/>
      <c r="I44" s="114">
        <v>0</v>
      </c>
      <c r="J44" s="114">
        <v>0</v>
      </c>
    </row>
    <row r="45" spans="1:10" s="109" customFormat="1" ht="15.75" thickBot="1">
      <c r="A45" s="46" t="s">
        <v>81</v>
      </c>
      <c r="B45" s="11" t="s">
        <v>82</v>
      </c>
      <c r="C45" s="12">
        <f>SUM(C46:C50)</f>
        <v>0</v>
      </c>
      <c r="D45" s="12">
        <f>SUM(D46:D50)</f>
        <v>0</v>
      </c>
      <c r="E45" s="115">
        <f>D45+C45</f>
        <v>0</v>
      </c>
      <c r="F45" s="160">
        <f>E45+D45</f>
        <v>0</v>
      </c>
      <c r="G45" s="12">
        <f>SUM(G46:G50)</f>
        <v>0</v>
      </c>
      <c r="H45" s="12">
        <f>SUM(H46:H50)</f>
        <v>0</v>
      </c>
      <c r="I45" s="115">
        <f>H45+G45</f>
        <v>0</v>
      </c>
      <c r="J45" s="160">
        <f>I45+H45</f>
        <v>0</v>
      </c>
    </row>
    <row r="46" spans="1:10" s="109" customFormat="1" ht="15">
      <c r="A46" s="104" t="s">
        <v>83</v>
      </c>
      <c r="B46" s="105" t="s">
        <v>84</v>
      </c>
      <c r="C46" s="28"/>
      <c r="D46" s="28"/>
      <c r="E46" s="28"/>
      <c r="F46" s="28"/>
      <c r="G46" s="28"/>
      <c r="H46" s="28"/>
      <c r="I46" s="28"/>
      <c r="J46" s="28"/>
    </row>
    <row r="47" spans="1:10" s="109" customFormat="1" ht="15">
      <c r="A47" s="107" t="s">
        <v>85</v>
      </c>
      <c r="B47" s="108" t="s">
        <v>86</v>
      </c>
      <c r="C47" s="24"/>
      <c r="D47" s="24"/>
      <c r="E47" s="24"/>
      <c r="F47" s="24"/>
      <c r="G47" s="24"/>
      <c r="H47" s="24"/>
      <c r="I47" s="24"/>
      <c r="J47" s="24"/>
    </row>
    <row r="48" spans="1:10" s="109" customFormat="1" ht="15">
      <c r="A48" s="107" t="s">
        <v>87</v>
      </c>
      <c r="B48" s="108" t="s">
        <v>88</v>
      </c>
      <c r="C48" s="24"/>
      <c r="D48" s="24"/>
      <c r="E48" s="24"/>
      <c r="F48" s="24"/>
      <c r="G48" s="24"/>
      <c r="H48" s="24"/>
      <c r="I48" s="24"/>
      <c r="J48" s="24"/>
    </row>
    <row r="49" spans="1:10" s="109" customFormat="1" ht="15">
      <c r="A49" s="107" t="s">
        <v>89</v>
      </c>
      <c r="B49" s="108" t="s">
        <v>90</v>
      </c>
      <c r="C49" s="24"/>
      <c r="D49" s="24"/>
      <c r="E49" s="24"/>
      <c r="F49" s="24"/>
      <c r="G49" s="24"/>
      <c r="H49" s="24"/>
      <c r="I49" s="24"/>
      <c r="J49" s="24"/>
    </row>
    <row r="50" spans="1:10" s="109" customFormat="1" ht="15.75" thickBot="1">
      <c r="A50" s="111" t="s">
        <v>91</v>
      </c>
      <c r="B50" s="112" t="s">
        <v>92</v>
      </c>
      <c r="C50" s="29"/>
      <c r="D50" s="29"/>
      <c r="E50" s="29"/>
      <c r="F50" s="29"/>
      <c r="G50" s="29"/>
      <c r="H50" s="29"/>
      <c r="I50" s="29"/>
      <c r="J50" s="29"/>
    </row>
    <row r="51" spans="1:10" s="109" customFormat="1" ht="15.75" thickBot="1">
      <c r="A51" s="46" t="s">
        <v>93</v>
      </c>
      <c r="B51" s="11" t="s">
        <v>94</v>
      </c>
      <c r="C51" s="12">
        <f>SUM(C52:C54)</f>
        <v>0</v>
      </c>
      <c r="D51" s="12">
        <f>SUM(D52:D54)</f>
        <v>0</v>
      </c>
      <c r="E51" s="12">
        <f>D51+C51</f>
        <v>0</v>
      </c>
      <c r="F51" s="12">
        <f>E51+D51</f>
        <v>0</v>
      </c>
      <c r="G51" s="12">
        <f>SUM(G52:G54)</f>
        <v>0</v>
      </c>
      <c r="H51" s="12">
        <f>SUM(H52:H54)</f>
        <v>0</v>
      </c>
      <c r="I51" s="12">
        <f>H51+G51</f>
        <v>0</v>
      </c>
      <c r="J51" s="12">
        <f>I51+H51</f>
        <v>0</v>
      </c>
    </row>
    <row r="52" spans="1:10" s="109" customFormat="1" ht="22.5">
      <c r="A52" s="104" t="s">
        <v>95</v>
      </c>
      <c r="B52" s="105" t="s">
        <v>96</v>
      </c>
      <c r="C52" s="15"/>
      <c r="D52" s="15"/>
      <c r="E52" s="15">
        <f>C52+D52</f>
        <v>0</v>
      </c>
      <c r="F52" s="15">
        <f>D52+E52</f>
        <v>0</v>
      </c>
      <c r="G52" s="15"/>
      <c r="H52" s="15"/>
      <c r="I52" s="15">
        <f aca="true" t="shared" si="8" ref="I52:J55">G52+H52</f>
        <v>0</v>
      </c>
      <c r="J52" s="15">
        <f t="shared" si="8"/>
        <v>0</v>
      </c>
    </row>
    <row r="53" spans="1:10" s="109" customFormat="1" ht="22.5">
      <c r="A53" s="107" t="s">
        <v>97</v>
      </c>
      <c r="B53" s="108" t="s">
        <v>98</v>
      </c>
      <c r="C53" s="19"/>
      <c r="D53" s="19"/>
      <c r="E53" s="15">
        <f aca="true" t="shared" si="9" ref="E53:F55">C53+D53</f>
        <v>0</v>
      </c>
      <c r="F53" s="15">
        <f t="shared" si="9"/>
        <v>0</v>
      </c>
      <c r="G53" s="19"/>
      <c r="H53" s="19"/>
      <c r="I53" s="15">
        <f t="shared" si="8"/>
        <v>0</v>
      </c>
      <c r="J53" s="15">
        <f t="shared" si="8"/>
        <v>0</v>
      </c>
    </row>
    <row r="54" spans="1:10" s="109" customFormat="1" ht="15">
      <c r="A54" s="107" t="s">
        <v>99</v>
      </c>
      <c r="B54" s="108" t="s">
        <v>100</v>
      </c>
      <c r="C54" s="19">
        <v>0</v>
      </c>
      <c r="D54" s="19"/>
      <c r="E54" s="15">
        <f t="shared" si="9"/>
        <v>0</v>
      </c>
      <c r="F54" s="15">
        <f t="shared" si="9"/>
        <v>0</v>
      </c>
      <c r="G54" s="19">
        <v>0</v>
      </c>
      <c r="H54" s="19"/>
      <c r="I54" s="15">
        <f t="shared" si="8"/>
        <v>0</v>
      </c>
      <c r="J54" s="15">
        <f t="shared" si="8"/>
        <v>0</v>
      </c>
    </row>
    <row r="55" spans="1:10" s="109" customFormat="1" ht="15.75" thickBot="1">
      <c r="A55" s="111" t="s">
        <v>101</v>
      </c>
      <c r="B55" s="112" t="s">
        <v>102</v>
      </c>
      <c r="C55" s="22"/>
      <c r="D55" s="22"/>
      <c r="E55" s="15">
        <f t="shared" si="9"/>
        <v>0</v>
      </c>
      <c r="F55" s="15">
        <f t="shared" si="9"/>
        <v>0</v>
      </c>
      <c r="G55" s="22"/>
      <c r="H55" s="22"/>
      <c r="I55" s="15">
        <f t="shared" si="8"/>
        <v>0</v>
      </c>
      <c r="J55" s="15">
        <f t="shared" si="8"/>
        <v>0</v>
      </c>
    </row>
    <row r="56" spans="1:10" s="109" customFormat="1" ht="15.75" thickBot="1">
      <c r="A56" s="46" t="s">
        <v>103</v>
      </c>
      <c r="B56" s="110" t="s">
        <v>104</v>
      </c>
      <c r="C56" s="12">
        <f aca="true" t="shared" si="10" ref="C56:J56">SUM(C57:C59)</f>
        <v>0</v>
      </c>
      <c r="D56" s="12">
        <f t="shared" si="10"/>
        <v>0</v>
      </c>
      <c r="E56" s="12">
        <f t="shared" si="10"/>
        <v>0</v>
      </c>
      <c r="F56" s="12">
        <f t="shared" si="10"/>
        <v>0</v>
      </c>
      <c r="G56" s="12">
        <f t="shared" si="10"/>
        <v>0</v>
      </c>
      <c r="H56" s="12">
        <f t="shared" si="10"/>
        <v>0</v>
      </c>
      <c r="I56" s="12">
        <f t="shared" si="10"/>
        <v>0</v>
      </c>
      <c r="J56" s="12">
        <f t="shared" si="10"/>
        <v>0</v>
      </c>
    </row>
    <row r="57" spans="1:10" s="109" customFormat="1" ht="22.5">
      <c r="A57" s="104" t="s">
        <v>105</v>
      </c>
      <c r="B57" s="105" t="s">
        <v>106</v>
      </c>
      <c r="C57" s="24"/>
      <c r="D57" s="24"/>
      <c r="E57" s="24"/>
      <c r="F57" s="24"/>
      <c r="G57" s="24"/>
      <c r="H57" s="24"/>
      <c r="I57" s="24"/>
      <c r="J57" s="24"/>
    </row>
    <row r="58" spans="1:10" s="109" customFormat="1" ht="22.5">
      <c r="A58" s="107" t="s">
        <v>107</v>
      </c>
      <c r="B58" s="108" t="s">
        <v>108</v>
      </c>
      <c r="C58" s="24"/>
      <c r="D58" s="24"/>
      <c r="E58" s="24"/>
      <c r="F58" s="24"/>
      <c r="G58" s="24"/>
      <c r="H58" s="24"/>
      <c r="I58" s="24"/>
      <c r="J58" s="24"/>
    </row>
    <row r="59" spans="1:10" s="109" customFormat="1" ht="15">
      <c r="A59" s="107" t="s">
        <v>109</v>
      </c>
      <c r="B59" s="108" t="s">
        <v>110</v>
      </c>
      <c r="C59" s="24"/>
      <c r="D59" s="24"/>
      <c r="E59" s="24"/>
      <c r="F59" s="24"/>
      <c r="G59" s="24"/>
      <c r="H59" s="24"/>
      <c r="I59" s="24"/>
      <c r="J59" s="24"/>
    </row>
    <row r="60" spans="1:10" s="109" customFormat="1" ht="15">
      <c r="A60" s="107" t="s">
        <v>111</v>
      </c>
      <c r="B60" s="108" t="s">
        <v>112</v>
      </c>
      <c r="C60" s="24"/>
      <c r="D60" s="24"/>
      <c r="E60" s="24"/>
      <c r="F60" s="24"/>
      <c r="G60" s="24"/>
      <c r="H60" s="24"/>
      <c r="I60" s="24"/>
      <c r="J60" s="24"/>
    </row>
    <row r="61" spans="1:10" s="109" customFormat="1" ht="15.75" thickBot="1">
      <c r="A61" s="103" t="s">
        <v>113</v>
      </c>
      <c r="B61" s="117" t="s">
        <v>114</v>
      </c>
      <c r="C61" s="118">
        <f>D61+E61</f>
        <v>8563</v>
      </c>
      <c r="D61" s="118">
        <f>+D7+D13+D20+D27+D34+D45+D51+D56</f>
        <v>1663</v>
      </c>
      <c r="E61" s="118">
        <f>+E7+E13+E20+E27+E34+E45+E51+E56</f>
        <v>6900</v>
      </c>
      <c r="F61" s="118">
        <v>0</v>
      </c>
      <c r="G61" s="118">
        <f>H61+I61</f>
        <v>8853</v>
      </c>
      <c r="H61" s="118">
        <f>+H7+H13+H20+H27+H34+H45+H51+H56</f>
        <v>2022</v>
      </c>
      <c r="I61" s="118">
        <f>+I7+I13+I20+I27+I34+I45+I51+I56</f>
        <v>6831</v>
      </c>
      <c r="J61" s="118">
        <v>0</v>
      </c>
    </row>
    <row r="62" spans="1:10" s="109" customFormat="1" ht="15.75" thickBot="1">
      <c r="A62" s="119" t="s">
        <v>255</v>
      </c>
      <c r="B62" s="110" t="s">
        <v>116</v>
      </c>
      <c r="C62" s="12">
        <f>SUM(C63:C65)</f>
        <v>0</v>
      </c>
      <c r="D62" s="12">
        <f>SUM(D63:D65)</f>
        <v>0</v>
      </c>
      <c r="E62" s="12">
        <f aca="true" t="shared" si="11" ref="E62:F65">D62+C62</f>
        <v>0</v>
      </c>
      <c r="F62" s="12">
        <f t="shared" si="11"/>
        <v>0</v>
      </c>
      <c r="G62" s="12">
        <f>SUM(G63:G65)</f>
        <v>0</v>
      </c>
      <c r="H62" s="12">
        <f>SUM(H63:H65)</f>
        <v>0</v>
      </c>
      <c r="I62" s="12">
        <f aca="true" t="shared" si="12" ref="I62:J65">H62+G62</f>
        <v>0</v>
      </c>
      <c r="J62" s="12">
        <f t="shared" si="12"/>
        <v>0</v>
      </c>
    </row>
    <row r="63" spans="1:10" s="109" customFormat="1" ht="15">
      <c r="A63" s="104" t="s">
        <v>117</v>
      </c>
      <c r="B63" s="105" t="s">
        <v>118</v>
      </c>
      <c r="C63" s="24"/>
      <c r="D63" s="24"/>
      <c r="E63" s="24">
        <f t="shared" si="11"/>
        <v>0</v>
      </c>
      <c r="F63" s="24">
        <f t="shared" si="11"/>
        <v>0</v>
      </c>
      <c r="G63" s="24"/>
      <c r="H63" s="24"/>
      <c r="I63" s="24">
        <f t="shared" si="12"/>
        <v>0</v>
      </c>
      <c r="J63" s="24">
        <f t="shared" si="12"/>
        <v>0</v>
      </c>
    </row>
    <row r="64" spans="1:10" s="109" customFormat="1" ht="15">
      <c r="A64" s="107" t="s">
        <v>119</v>
      </c>
      <c r="B64" s="108" t="s">
        <v>120</v>
      </c>
      <c r="C64" s="24">
        <v>0</v>
      </c>
      <c r="D64" s="24"/>
      <c r="E64" s="24">
        <f t="shared" si="11"/>
        <v>0</v>
      </c>
      <c r="F64" s="24">
        <f t="shared" si="11"/>
        <v>0</v>
      </c>
      <c r="G64" s="24">
        <v>0</v>
      </c>
      <c r="H64" s="24"/>
      <c r="I64" s="24">
        <f t="shared" si="12"/>
        <v>0</v>
      </c>
      <c r="J64" s="24">
        <f t="shared" si="12"/>
        <v>0</v>
      </c>
    </row>
    <row r="65" spans="1:10" s="109" customFormat="1" ht="15.75" thickBot="1">
      <c r="A65" s="111" t="s">
        <v>121</v>
      </c>
      <c r="B65" s="120" t="s">
        <v>122</v>
      </c>
      <c r="C65" s="24">
        <v>0</v>
      </c>
      <c r="D65" s="24"/>
      <c r="E65" s="24">
        <f t="shared" si="11"/>
        <v>0</v>
      </c>
      <c r="F65" s="24">
        <f t="shared" si="11"/>
        <v>0</v>
      </c>
      <c r="G65" s="24">
        <v>0</v>
      </c>
      <c r="H65" s="24"/>
      <c r="I65" s="24">
        <f t="shared" si="12"/>
        <v>0</v>
      </c>
      <c r="J65" s="24">
        <f t="shared" si="12"/>
        <v>0</v>
      </c>
    </row>
    <row r="66" spans="1:10" s="109" customFormat="1" ht="15.75" thickBot="1">
      <c r="A66" s="119" t="s">
        <v>123</v>
      </c>
      <c r="B66" s="110" t="s">
        <v>124</v>
      </c>
      <c r="C66" s="12">
        <f aca="true" t="shared" si="13" ref="C66:J66">SUM(C67:C70)</f>
        <v>0</v>
      </c>
      <c r="D66" s="12">
        <f t="shared" si="13"/>
        <v>0</v>
      </c>
      <c r="E66" s="12">
        <f t="shared" si="13"/>
        <v>0</v>
      </c>
      <c r="F66" s="12">
        <f t="shared" si="13"/>
        <v>0</v>
      </c>
      <c r="G66" s="12">
        <f t="shared" si="13"/>
        <v>0</v>
      </c>
      <c r="H66" s="12">
        <f t="shared" si="13"/>
        <v>0</v>
      </c>
      <c r="I66" s="12">
        <f t="shared" si="13"/>
        <v>0</v>
      </c>
      <c r="J66" s="12">
        <f t="shared" si="13"/>
        <v>0</v>
      </c>
    </row>
    <row r="67" spans="1:10" s="109" customFormat="1" ht="15">
      <c r="A67" s="104" t="s">
        <v>125</v>
      </c>
      <c r="B67" s="105" t="s">
        <v>126</v>
      </c>
      <c r="C67" s="24"/>
      <c r="D67" s="24"/>
      <c r="E67" s="24"/>
      <c r="F67" s="24"/>
      <c r="G67" s="24"/>
      <c r="H67" s="24"/>
      <c r="I67" s="24"/>
      <c r="J67" s="24"/>
    </row>
    <row r="68" spans="1:10" s="109" customFormat="1" ht="15">
      <c r="A68" s="107" t="s">
        <v>127</v>
      </c>
      <c r="B68" s="108" t="s">
        <v>128</v>
      </c>
      <c r="C68" s="24"/>
      <c r="D68" s="24"/>
      <c r="E68" s="24"/>
      <c r="F68" s="24"/>
      <c r="G68" s="24"/>
      <c r="H68" s="24"/>
      <c r="I68" s="24"/>
      <c r="J68" s="24"/>
    </row>
    <row r="69" spans="1:10" s="109" customFormat="1" ht="15">
      <c r="A69" s="107" t="s">
        <v>129</v>
      </c>
      <c r="B69" s="108" t="s">
        <v>130</v>
      </c>
      <c r="C69" s="24"/>
      <c r="D69" s="24"/>
      <c r="E69" s="24"/>
      <c r="F69" s="24"/>
      <c r="G69" s="24"/>
      <c r="H69" s="24"/>
      <c r="I69" s="24"/>
      <c r="J69" s="24"/>
    </row>
    <row r="70" spans="1:10" s="109" customFormat="1" ht="15.75" thickBot="1">
      <c r="A70" s="111" t="s">
        <v>131</v>
      </c>
      <c r="B70" s="112" t="s">
        <v>132</v>
      </c>
      <c r="C70" s="24"/>
      <c r="D70" s="24"/>
      <c r="E70" s="24"/>
      <c r="F70" s="24"/>
      <c r="G70" s="24"/>
      <c r="H70" s="24"/>
      <c r="I70" s="24"/>
      <c r="J70" s="24"/>
    </row>
    <row r="71" spans="1:10" s="109" customFormat="1" ht="15.75" thickBot="1">
      <c r="A71" s="119" t="s">
        <v>133</v>
      </c>
      <c r="B71" s="110" t="s">
        <v>134</v>
      </c>
      <c r="C71" s="12">
        <f>SUM(C72:C73)</f>
        <v>0</v>
      </c>
      <c r="D71" s="12">
        <f>SUM(D72:D73)</f>
        <v>0</v>
      </c>
      <c r="E71" s="12">
        <f aca="true" t="shared" si="14" ref="E71:F73">D71+C71</f>
        <v>0</v>
      </c>
      <c r="F71" s="12">
        <f t="shared" si="14"/>
        <v>0</v>
      </c>
      <c r="G71" s="12">
        <v>157</v>
      </c>
      <c r="H71" s="12">
        <v>157</v>
      </c>
      <c r="I71" s="12"/>
      <c r="J71" s="12"/>
    </row>
    <row r="72" spans="1:10" s="109" customFormat="1" ht="15">
      <c r="A72" s="104" t="s">
        <v>135</v>
      </c>
      <c r="B72" s="105" t="s">
        <v>136</v>
      </c>
      <c r="C72" s="24">
        <v>0</v>
      </c>
      <c r="D72" s="24"/>
      <c r="E72" s="24">
        <f t="shared" si="14"/>
        <v>0</v>
      </c>
      <c r="F72" s="24">
        <f t="shared" si="14"/>
        <v>0</v>
      </c>
      <c r="G72" s="24">
        <v>0</v>
      </c>
      <c r="H72" s="24">
        <v>157</v>
      </c>
      <c r="I72" s="24"/>
      <c r="J72" s="24"/>
    </row>
    <row r="73" spans="1:10" s="109" customFormat="1" ht="15.75" thickBot="1">
      <c r="A73" s="111" t="s">
        <v>137</v>
      </c>
      <c r="B73" s="112" t="s">
        <v>138</v>
      </c>
      <c r="C73" s="24"/>
      <c r="D73" s="24"/>
      <c r="E73" s="24">
        <f t="shared" si="14"/>
        <v>0</v>
      </c>
      <c r="F73" s="24">
        <f t="shared" si="14"/>
        <v>0</v>
      </c>
      <c r="G73" s="24"/>
      <c r="H73" s="24"/>
      <c r="I73" s="24">
        <f>H73+G73</f>
        <v>0</v>
      </c>
      <c r="J73" s="24">
        <f>I73+H73</f>
        <v>0</v>
      </c>
    </row>
    <row r="74" spans="1:10" s="106" customFormat="1" ht="15.75" thickBot="1">
      <c r="A74" s="119" t="s">
        <v>139</v>
      </c>
      <c r="B74" s="110" t="s">
        <v>140</v>
      </c>
      <c r="C74" s="12">
        <f>D74+E74+F74</f>
        <v>26612</v>
      </c>
      <c r="D74" s="12">
        <f>D75+D76+D77</f>
        <v>25002</v>
      </c>
      <c r="E74" s="12">
        <f>E75+E76+E77</f>
        <v>1610</v>
      </c>
      <c r="F74" s="12">
        <f>F75+F76+F77</f>
        <v>0</v>
      </c>
      <c r="G74" s="12">
        <f>H74+I74+J74</f>
        <v>27441</v>
      </c>
      <c r="H74" s="12">
        <f>H75+H76+H77</f>
        <v>27441</v>
      </c>
      <c r="I74" s="12">
        <f>I75+I76+I77</f>
        <v>0</v>
      </c>
      <c r="J74" s="12">
        <f>J75+J76+J77</f>
        <v>0</v>
      </c>
    </row>
    <row r="75" spans="1:10" s="109" customFormat="1" ht="15">
      <c r="A75" s="104" t="s">
        <v>141</v>
      </c>
      <c r="B75" s="105" t="s">
        <v>142</v>
      </c>
      <c r="C75" s="24">
        <f>D75+E75+F75</f>
        <v>26612</v>
      </c>
      <c r="D75" s="24">
        <f>26612-E75</f>
        <v>25002</v>
      </c>
      <c r="E75" s="24">
        <v>1610</v>
      </c>
      <c r="F75" s="24">
        <v>0</v>
      </c>
      <c r="G75" s="24">
        <f>H75+I75+J75</f>
        <v>27441</v>
      </c>
      <c r="H75" s="24">
        <v>27441</v>
      </c>
      <c r="I75" s="24">
        <v>0</v>
      </c>
      <c r="J75" s="24">
        <v>0</v>
      </c>
    </row>
    <row r="76" spans="1:10" s="109" customFormat="1" ht="15">
      <c r="A76" s="107" t="s">
        <v>143</v>
      </c>
      <c r="B76" s="108" t="s">
        <v>144</v>
      </c>
      <c r="C76" s="24"/>
      <c r="D76" s="24"/>
      <c r="E76" s="24">
        <f>D76+C76</f>
        <v>0</v>
      </c>
      <c r="F76" s="24">
        <f>E76+D76</f>
        <v>0</v>
      </c>
      <c r="G76" s="24"/>
      <c r="H76" s="24"/>
      <c r="I76" s="24">
        <f>H76+G76</f>
        <v>0</v>
      </c>
      <c r="J76" s="24">
        <f>I76+H76</f>
        <v>0</v>
      </c>
    </row>
    <row r="77" spans="1:10" s="109" customFormat="1" ht="15.75" thickBot="1">
      <c r="A77" s="111" t="s">
        <v>145</v>
      </c>
      <c r="B77" s="112" t="s">
        <v>146</v>
      </c>
      <c r="C77" s="24"/>
      <c r="D77" s="24"/>
      <c r="E77" s="24">
        <f>D77+C77</f>
        <v>0</v>
      </c>
      <c r="F77" s="24">
        <f>E77+D77</f>
        <v>0</v>
      </c>
      <c r="G77" s="24"/>
      <c r="H77" s="24"/>
      <c r="I77" s="24">
        <f>H77+G77</f>
        <v>0</v>
      </c>
      <c r="J77" s="24">
        <f>I77+H77</f>
        <v>0</v>
      </c>
    </row>
    <row r="78" spans="1:10" s="109" customFormat="1" ht="15.75" thickBot="1">
      <c r="A78" s="119" t="s">
        <v>147</v>
      </c>
      <c r="B78" s="110" t="s">
        <v>148</v>
      </c>
      <c r="C78" s="12">
        <f aca="true" t="shared" si="15" ref="C78:J78">SUM(C79:C82)</f>
        <v>0</v>
      </c>
      <c r="D78" s="12">
        <f t="shared" si="15"/>
        <v>0</v>
      </c>
      <c r="E78" s="12">
        <f t="shared" si="15"/>
        <v>0</v>
      </c>
      <c r="F78" s="12">
        <f t="shared" si="15"/>
        <v>0</v>
      </c>
      <c r="G78" s="12">
        <f t="shared" si="15"/>
        <v>0</v>
      </c>
      <c r="H78" s="12">
        <f t="shared" si="15"/>
        <v>0</v>
      </c>
      <c r="I78" s="12">
        <f t="shared" si="15"/>
        <v>0</v>
      </c>
      <c r="J78" s="12">
        <f t="shared" si="15"/>
        <v>0</v>
      </c>
    </row>
    <row r="79" spans="1:10" s="109" customFormat="1" ht="15">
      <c r="A79" s="121" t="s">
        <v>149</v>
      </c>
      <c r="B79" s="105" t="s">
        <v>150</v>
      </c>
      <c r="C79" s="24"/>
      <c r="D79" s="24"/>
      <c r="E79" s="24"/>
      <c r="F79" s="24"/>
      <c r="G79" s="24"/>
      <c r="H79" s="24"/>
      <c r="I79" s="24"/>
      <c r="J79" s="24"/>
    </row>
    <row r="80" spans="1:10" s="109" customFormat="1" ht="15">
      <c r="A80" s="122" t="s">
        <v>151</v>
      </c>
      <c r="B80" s="108" t="s">
        <v>152</v>
      </c>
      <c r="C80" s="24"/>
      <c r="D80" s="24"/>
      <c r="E80" s="24"/>
      <c r="F80" s="24"/>
      <c r="G80" s="24"/>
      <c r="H80" s="24"/>
      <c r="I80" s="24"/>
      <c r="J80" s="24"/>
    </row>
    <row r="81" spans="1:10" s="109" customFormat="1" ht="15">
      <c r="A81" s="122" t="s">
        <v>153</v>
      </c>
      <c r="B81" s="108" t="s">
        <v>154</v>
      </c>
      <c r="C81" s="24"/>
      <c r="D81" s="24"/>
      <c r="E81" s="24"/>
      <c r="F81" s="24"/>
      <c r="G81" s="24"/>
      <c r="H81" s="24"/>
      <c r="I81" s="24"/>
      <c r="J81" s="24"/>
    </row>
    <row r="82" spans="1:10" s="106" customFormat="1" ht="15.75" thickBot="1">
      <c r="A82" s="123" t="s">
        <v>155</v>
      </c>
      <c r="B82" s="112" t="s">
        <v>156</v>
      </c>
      <c r="C82" s="24"/>
      <c r="D82" s="24"/>
      <c r="E82" s="24"/>
      <c r="F82" s="24"/>
      <c r="G82" s="24"/>
      <c r="H82" s="24"/>
      <c r="I82" s="24"/>
      <c r="J82" s="24"/>
    </row>
    <row r="83" spans="1:10" s="106" customFormat="1" ht="15.75" thickBot="1">
      <c r="A83" s="119" t="s">
        <v>157</v>
      </c>
      <c r="B83" s="110" t="s">
        <v>158</v>
      </c>
      <c r="C83" s="36"/>
      <c r="D83" s="36"/>
      <c r="E83" s="36"/>
      <c r="F83" s="36"/>
      <c r="G83" s="36"/>
      <c r="H83" s="36"/>
      <c r="I83" s="36"/>
      <c r="J83" s="36"/>
    </row>
    <row r="84" spans="1:10" s="106" customFormat="1" ht="15.75" thickBot="1">
      <c r="A84" s="119" t="s">
        <v>159</v>
      </c>
      <c r="B84" s="124" t="s">
        <v>160</v>
      </c>
      <c r="C84" s="23">
        <f aca="true" t="shared" si="16" ref="C84:J84">+C62+C66+C71+C74+C78+C83</f>
        <v>26612</v>
      </c>
      <c r="D84" s="23">
        <f t="shared" si="16"/>
        <v>25002</v>
      </c>
      <c r="E84" s="23">
        <f t="shared" si="16"/>
        <v>1610</v>
      </c>
      <c r="F84" s="23">
        <f t="shared" si="16"/>
        <v>0</v>
      </c>
      <c r="G84" s="23">
        <f t="shared" si="16"/>
        <v>27598</v>
      </c>
      <c r="H84" s="23">
        <f t="shared" si="16"/>
        <v>27598</v>
      </c>
      <c r="I84" s="23">
        <f t="shared" si="16"/>
        <v>0</v>
      </c>
      <c r="J84" s="23">
        <f t="shared" si="16"/>
        <v>0</v>
      </c>
    </row>
    <row r="85" spans="1:10" s="106" customFormat="1" ht="15.75" thickBot="1">
      <c r="A85" s="125" t="s">
        <v>161</v>
      </c>
      <c r="B85" s="126" t="s">
        <v>256</v>
      </c>
      <c r="C85" s="23">
        <f aca="true" t="shared" si="17" ref="C85:J85">+C61+C84</f>
        <v>35175</v>
      </c>
      <c r="D85" s="23">
        <f t="shared" si="17"/>
        <v>26665</v>
      </c>
      <c r="E85" s="23">
        <f t="shared" si="17"/>
        <v>8510</v>
      </c>
      <c r="F85" s="23">
        <f t="shared" si="17"/>
        <v>0</v>
      </c>
      <c r="G85" s="23">
        <f t="shared" si="17"/>
        <v>36451</v>
      </c>
      <c r="H85" s="23">
        <f t="shared" si="17"/>
        <v>29620</v>
      </c>
      <c r="I85" s="23">
        <f t="shared" si="17"/>
        <v>6831</v>
      </c>
      <c r="J85" s="23">
        <f t="shared" si="17"/>
        <v>0</v>
      </c>
    </row>
    <row r="86" spans="1:10" s="109" customFormat="1" ht="15">
      <c r="A86" s="127"/>
      <c r="B86" s="128"/>
      <c r="C86" s="129"/>
      <c r="D86" s="129"/>
      <c r="E86" s="129"/>
      <c r="F86" s="129"/>
      <c r="G86" s="129"/>
      <c r="H86" s="129"/>
      <c r="I86" s="129"/>
      <c r="J86" s="129"/>
    </row>
    <row r="87" spans="1:10" s="109" customFormat="1" ht="15">
      <c r="A87" s="127"/>
      <c r="B87" s="128"/>
      <c r="C87" s="129"/>
      <c r="D87" s="129"/>
      <c r="E87" s="129"/>
      <c r="F87" s="129"/>
      <c r="G87" s="129"/>
      <c r="H87" s="129"/>
      <c r="I87" s="129"/>
      <c r="J87" s="129"/>
    </row>
    <row r="88" spans="1:10" s="109" customFormat="1" ht="15">
      <c r="A88" s="127"/>
      <c r="B88" s="128"/>
      <c r="C88" s="129"/>
      <c r="D88" s="129"/>
      <c r="E88" s="129"/>
      <c r="F88" s="129"/>
      <c r="G88" s="129"/>
      <c r="H88" s="129"/>
      <c r="I88" s="129"/>
      <c r="J88" s="129"/>
    </row>
    <row r="89" spans="1:10" s="109" customFormat="1" ht="15.75" thickBot="1">
      <c r="A89" s="127"/>
      <c r="B89" s="128"/>
      <c r="C89" s="129"/>
      <c r="D89" s="129"/>
      <c r="E89" s="129"/>
      <c r="F89" s="129"/>
      <c r="G89" s="129"/>
      <c r="H89" s="129"/>
      <c r="I89" s="129"/>
      <c r="J89" s="129"/>
    </row>
    <row r="90" spans="1:10" ht="15.75" customHeight="1" thickBot="1">
      <c r="A90" s="96" t="s">
        <v>261</v>
      </c>
      <c r="B90" s="152" t="s">
        <v>253</v>
      </c>
      <c r="C90" s="476" t="s">
        <v>426</v>
      </c>
      <c r="D90" s="468"/>
      <c r="E90" s="468"/>
      <c r="F90" s="469"/>
      <c r="G90" s="476" t="s">
        <v>440</v>
      </c>
      <c r="H90" s="468"/>
      <c r="I90" s="468"/>
      <c r="J90" s="469"/>
    </row>
    <row r="91" spans="1:10" s="102" customFormat="1" ht="16.5" thickBot="1">
      <c r="A91" s="99" t="s">
        <v>240</v>
      </c>
      <c r="B91" s="100" t="s">
        <v>241</v>
      </c>
      <c r="C91" s="101" t="s">
        <v>242</v>
      </c>
      <c r="D91" s="101" t="s">
        <v>250</v>
      </c>
      <c r="E91" s="101" t="s">
        <v>251</v>
      </c>
      <c r="F91" s="101" t="s">
        <v>252</v>
      </c>
      <c r="G91" s="101" t="s">
        <v>375</v>
      </c>
      <c r="H91" s="101" t="s">
        <v>417</v>
      </c>
      <c r="I91" s="101" t="s">
        <v>418</v>
      </c>
      <c r="J91" s="101" t="s">
        <v>419</v>
      </c>
    </row>
    <row r="92" spans="1:10" s="102" customFormat="1" ht="42" customHeight="1" thickBot="1">
      <c r="A92" s="130"/>
      <c r="B92" s="131" t="s">
        <v>257</v>
      </c>
      <c r="C92" s="161" t="s">
        <v>245</v>
      </c>
      <c r="D92" s="161" t="s">
        <v>263</v>
      </c>
      <c r="E92" s="162" t="s">
        <v>264</v>
      </c>
      <c r="F92" s="162" t="s">
        <v>268</v>
      </c>
      <c r="G92" s="161" t="s">
        <v>245</v>
      </c>
      <c r="H92" s="161" t="s">
        <v>263</v>
      </c>
      <c r="I92" s="162" t="s">
        <v>264</v>
      </c>
      <c r="J92" s="162" t="s">
        <v>268</v>
      </c>
    </row>
    <row r="93" spans="1:10" s="134" customFormat="1" ht="13.5" thickBot="1">
      <c r="A93" s="7" t="s">
        <v>4</v>
      </c>
      <c r="B93" s="50" t="s">
        <v>449</v>
      </c>
      <c r="C93" s="51">
        <f aca="true" t="shared" si="18" ref="C93:C98">D93+E93+F93</f>
        <v>35175</v>
      </c>
      <c r="D93" s="163">
        <f>D94+D95+D96+D97+D98</f>
        <v>27153</v>
      </c>
      <c r="E93" s="163">
        <f>E94+E95+E96+E97+E98</f>
        <v>8022</v>
      </c>
      <c r="F93" s="164">
        <f>F94+F95+F96+F97+F98</f>
        <v>0</v>
      </c>
      <c r="G93" s="51">
        <f aca="true" t="shared" si="19" ref="G93:G98">H93+I93+J93</f>
        <v>36436</v>
      </c>
      <c r="H93" s="163">
        <f>H94+H95+H96+H97+H98</f>
        <v>28414</v>
      </c>
      <c r="I93" s="163">
        <f>I94+I95+I96+I97+I98</f>
        <v>8022</v>
      </c>
      <c r="J93" s="164">
        <f>J94+J95+J96+J97+J98</f>
        <v>0</v>
      </c>
    </row>
    <row r="94" spans="1:10" ht="15.75" thickBot="1">
      <c r="A94" s="135" t="s">
        <v>6</v>
      </c>
      <c r="B94" s="53" t="s">
        <v>165</v>
      </c>
      <c r="C94" s="54">
        <f t="shared" si="18"/>
        <v>17527</v>
      </c>
      <c r="D94" s="165">
        <f>17527-E94</f>
        <v>14880</v>
      </c>
      <c r="E94" s="165">
        <v>2647</v>
      </c>
      <c r="F94" s="165"/>
      <c r="G94" s="54">
        <f t="shared" si="19"/>
        <v>17866</v>
      </c>
      <c r="H94" s="165">
        <f>17866-I94</f>
        <v>15219</v>
      </c>
      <c r="I94" s="165">
        <v>2647</v>
      </c>
      <c r="J94" s="165"/>
    </row>
    <row r="95" spans="1:10" ht="15.75" thickBot="1">
      <c r="A95" s="107" t="s">
        <v>8</v>
      </c>
      <c r="B95" s="55" t="s">
        <v>166</v>
      </c>
      <c r="C95" s="54">
        <f t="shared" si="18"/>
        <v>4759</v>
      </c>
      <c r="D95" s="166">
        <f>4759-E95</f>
        <v>4034</v>
      </c>
      <c r="E95" s="166">
        <v>725</v>
      </c>
      <c r="F95" s="166"/>
      <c r="G95" s="54">
        <f t="shared" si="19"/>
        <v>4851</v>
      </c>
      <c r="H95" s="166">
        <f>4851-I95</f>
        <v>4126</v>
      </c>
      <c r="I95" s="166">
        <v>725</v>
      </c>
      <c r="J95" s="166"/>
    </row>
    <row r="96" spans="1:10" ht="15.75" thickBot="1">
      <c r="A96" s="107" t="s">
        <v>10</v>
      </c>
      <c r="B96" s="55" t="s">
        <v>167</v>
      </c>
      <c r="C96" s="54">
        <f t="shared" si="18"/>
        <v>12889</v>
      </c>
      <c r="D96" s="167">
        <f>12889-E96</f>
        <v>8239</v>
      </c>
      <c r="E96" s="166">
        <v>4650</v>
      </c>
      <c r="F96" s="166"/>
      <c r="G96" s="54">
        <f t="shared" si="19"/>
        <v>13719</v>
      </c>
      <c r="H96" s="167">
        <f>13719-I96</f>
        <v>9069</v>
      </c>
      <c r="I96" s="166">
        <v>4650</v>
      </c>
      <c r="J96" s="166"/>
    </row>
    <row r="97" spans="1:10" ht="15">
      <c r="A97" s="107" t="s">
        <v>12</v>
      </c>
      <c r="B97" s="56" t="s">
        <v>168</v>
      </c>
      <c r="C97" s="54">
        <f t="shared" si="18"/>
        <v>0</v>
      </c>
      <c r="D97" s="167"/>
      <c r="E97" s="166"/>
      <c r="F97" s="166"/>
      <c r="G97" s="54">
        <f t="shared" si="19"/>
        <v>0</v>
      </c>
      <c r="H97" s="167"/>
      <c r="I97" s="166"/>
      <c r="J97" s="166"/>
    </row>
    <row r="98" spans="1:10" ht="15">
      <c r="A98" s="107" t="s">
        <v>169</v>
      </c>
      <c r="B98" s="57" t="s">
        <v>170</v>
      </c>
      <c r="C98" s="22">
        <f t="shared" si="18"/>
        <v>0</v>
      </c>
      <c r="D98" s="167">
        <f>D99+D100+D101+D102+D103+D104+D105+D106+D107+D108</f>
        <v>0</v>
      </c>
      <c r="E98" s="167">
        <f>E99+E100+E101+E102+E103+E104+E105+E106+E107+E108</f>
        <v>0</v>
      </c>
      <c r="F98" s="167">
        <f>F99+F100+F101+F102+F103+F104+F105+F106+F107+F108</f>
        <v>0</v>
      </c>
      <c r="G98" s="22">
        <f t="shared" si="19"/>
        <v>0</v>
      </c>
      <c r="H98" s="167">
        <f>H99+H100+H101+H102+H103+H104+H105+H106+H107+H108</f>
        <v>0</v>
      </c>
      <c r="I98" s="167">
        <f>I99+I100+I101+I102+I103+I104+I105+I106+I107+I108</f>
        <v>0</v>
      </c>
      <c r="J98" s="167">
        <f>J99+J100+J101+J102+J103+J104+J105+J106+J107+J108</f>
        <v>0</v>
      </c>
    </row>
    <row r="99" spans="1:10" ht="15">
      <c r="A99" s="107" t="s">
        <v>15</v>
      </c>
      <c r="B99" s="55" t="s">
        <v>171</v>
      </c>
      <c r="C99" s="22"/>
      <c r="D99" s="167"/>
      <c r="E99" s="167"/>
      <c r="F99" s="167"/>
      <c r="G99" s="22"/>
      <c r="H99" s="167"/>
      <c r="I99" s="167"/>
      <c r="J99" s="167"/>
    </row>
    <row r="100" spans="1:10" ht="15">
      <c r="A100" s="107" t="s">
        <v>172</v>
      </c>
      <c r="B100" s="58" t="s">
        <v>173</v>
      </c>
      <c r="C100" s="22"/>
      <c r="D100" s="167"/>
      <c r="E100" s="167"/>
      <c r="F100" s="167"/>
      <c r="G100" s="22"/>
      <c r="H100" s="167"/>
      <c r="I100" s="167"/>
      <c r="J100" s="167"/>
    </row>
    <row r="101" spans="1:10" ht="22.5">
      <c r="A101" s="107" t="s">
        <v>174</v>
      </c>
      <c r="B101" s="59" t="s">
        <v>175</v>
      </c>
      <c r="C101" s="22"/>
      <c r="D101" s="167"/>
      <c r="E101" s="167"/>
      <c r="F101" s="167"/>
      <c r="G101" s="22"/>
      <c r="H101" s="167"/>
      <c r="I101" s="167"/>
      <c r="J101" s="167"/>
    </row>
    <row r="102" spans="1:10" ht="22.5">
      <c r="A102" s="107" t="s">
        <v>176</v>
      </c>
      <c r="B102" s="59" t="s">
        <v>177</v>
      </c>
      <c r="C102" s="22"/>
      <c r="D102" s="167"/>
      <c r="E102" s="167"/>
      <c r="F102" s="167"/>
      <c r="G102" s="22"/>
      <c r="H102" s="167"/>
      <c r="I102" s="167"/>
      <c r="J102" s="167"/>
    </row>
    <row r="103" spans="1:10" ht="15">
      <c r="A103" s="107" t="s">
        <v>178</v>
      </c>
      <c r="B103" s="58" t="s">
        <v>179</v>
      </c>
      <c r="C103" s="22"/>
      <c r="D103" s="167"/>
      <c r="E103" s="167"/>
      <c r="F103" s="167"/>
      <c r="G103" s="22"/>
      <c r="H103" s="167"/>
      <c r="I103" s="167"/>
      <c r="J103" s="167"/>
    </row>
    <row r="104" spans="1:10" ht="15">
      <c r="A104" s="107" t="s">
        <v>180</v>
      </c>
      <c r="B104" s="58" t="s">
        <v>181</v>
      </c>
      <c r="C104" s="22"/>
      <c r="D104" s="167"/>
      <c r="E104" s="167"/>
      <c r="F104" s="167"/>
      <c r="G104" s="22"/>
      <c r="H104" s="167"/>
      <c r="I104" s="167"/>
      <c r="J104" s="167"/>
    </row>
    <row r="105" spans="1:10" ht="22.5">
      <c r="A105" s="107" t="s">
        <v>182</v>
      </c>
      <c r="B105" s="59" t="s">
        <v>183</v>
      </c>
      <c r="C105" s="22"/>
      <c r="D105" s="167"/>
      <c r="E105" s="167"/>
      <c r="F105" s="167"/>
      <c r="G105" s="22"/>
      <c r="H105" s="167"/>
      <c r="I105" s="167"/>
      <c r="J105" s="167"/>
    </row>
    <row r="106" spans="1:10" ht="15">
      <c r="A106" s="136" t="s">
        <v>184</v>
      </c>
      <c r="B106" s="61" t="s">
        <v>185</v>
      </c>
      <c r="C106" s="22"/>
      <c r="D106" s="167"/>
      <c r="E106" s="167"/>
      <c r="F106" s="167"/>
      <c r="G106" s="22"/>
      <c r="H106" s="167"/>
      <c r="I106" s="167"/>
      <c r="J106" s="167"/>
    </row>
    <row r="107" spans="1:10" ht="15">
      <c r="A107" s="107" t="s">
        <v>186</v>
      </c>
      <c r="B107" s="61" t="s">
        <v>187</v>
      </c>
      <c r="C107" s="22"/>
      <c r="D107" s="167"/>
      <c r="E107" s="167"/>
      <c r="F107" s="167"/>
      <c r="G107" s="22"/>
      <c r="H107" s="167"/>
      <c r="I107" s="167"/>
      <c r="J107" s="167"/>
    </row>
    <row r="108" spans="1:10" ht="23.25" thickBot="1">
      <c r="A108" s="137" t="s">
        <v>188</v>
      </c>
      <c r="B108" s="63" t="s">
        <v>189</v>
      </c>
      <c r="C108" s="64"/>
      <c r="D108" s="168"/>
      <c r="E108" s="168"/>
      <c r="F108" s="168"/>
      <c r="G108" s="64"/>
      <c r="H108" s="168"/>
      <c r="I108" s="168"/>
      <c r="J108" s="168"/>
    </row>
    <row r="109" spans="1:10" ht="15.75" thickBot="1">
      <c r="A109" s="46" t="s">
        <v>17</v>
      </c>
      <c r="B109" s="65" t="s">
        <v>450</v>
      </c>
      <c r="C109" s="12">
        <f>+C110+C112+C114</f>
        <v>0</v>
      </c>
      <c r="D109" s="12">
        <f>+D110+D112+D114</f>
        <v>0</v>
      </c>
      <c r="E109" s="12">
        <f aca="true" t="shared" si="20" ref="E109:F113">D109+C109</f>
        <v>0</v>
      </c>
      <c r="F109" s="12">
        <f t="shared" si="20"/>
        <v>0</v>
      </c>
      <c r="G109" s="12">
        <v>15</v>
      </c>
      <c r="H109" s="12">
        <f>+H110+H112+H114</f>
        <v>15</v>
      </c>
      <c r="I109" s="12"/>
      <c r="J109" s="12"/>
    </row>
    <row r="110" spans="1:10" ht="15">
      <c r="A110" s="104" t="s">
        <v>19</v>
      </c>
      <c r="B110" s="55" t="s">
        <v>190</v>
      </c>
      <c r="C110" s="15">
        <f>C111</f>
        <v>0</v>
      </c>
      <c r="D110" s="15"/>
      <c r="E110" s="15">
        <f t="shared" si="20"/>
        <v>0</v>
      </c>
      <c r="F110" s="15">
        <f t="shared" si="20"/>
        <v>0</v>
      </c>
      <c r="G110" s="15">
        <v>15</v>
      </c>
      <c r="H110" s="15">
        <v>15</v>
      </c>
      <c r="I110" s="15"/>
      <c r="J110" s="15"/>
    </row>
    <row r="111" spans="1:10" ht="15">
      <c r="A111" s="104" t="s">
        <v>21</v>
      </c>
      <c r="B111" s="66" t="s">
        <v>191</v>
      </c>
      <c r="C111" s="15">
        <v>0</v>
      </c>
      <c r="D111" s="15"/>
      <c r="E111" s="15">
        <f t="shared" si="20"/>
        <v>0</v>
      </c>
      <c r="F111" s="15">
        <f t="shared" si="20"/>
        <v>0</v>
      </c>
      <c r="G111" s="15">
        <v>0</v>
      </c>
      <c r="H111" s="15"/>
      <c r="I111" s="15">
        <f aca="true" t="shared" si="21" ref="I111:J113">H111+G111</f>
        <v>0</v>
      </c>
      <c r="J111" s="15">
        <f t="shared" si="21"/>
        <v>0</v>
      </c>
    </row>
    <row r="112" spans="1:10" ht="15">
      <c r="A112" s="104" t="s">
        <v>23</v>
      </c>
      <c r="B112" s="66" t="s">
        <v>192</v>
      </c>
      <c r="C112" s="19">
        <f>C113</f>
        <v>0</v>
      </c>
      <c r="D112" s="19">
        <f>D113</f>
        <v>0</v>
      </c>
      <c r="E112" s="15">
        <f t="shared" si="20"/>
        <v>0</v>
      </c>
      <c r="F112" s="15">
        <f t="shared" si="20"/>
        <v>0</v>
      </c>
      <c r="G112" s="19">
        <f>G113</f>
        <v>0</v>
      </c>
      <c r="H112" s="19">
        <f>H113</f>
        <v>0</v>
      </c>
      <c r="I112" s="15">
        <f t="shared" si="21"/>
        <v>0</v>
      </c>
      <c r="J112" s="15">
        <f t="shared" si="21"/>
        <v>0</v>
      </c>
    </row>
    <row r="113" spans="1:10" ht="15">
      <c r="A113" s="104" t="s">
        <v>25</v>
      </c>
      <c r="B113" s="66" t="s">
        <v>193</v>
      </c>
      <c r="C113" s="67">
        <v>0</v>
      </c>
      <c r="D113" s="67"/>
      <c r="E113" s="15">
        <f t="shared" si="20"/>
        <v>0</v>
      </c>
      <c r="F113" s="15">
        <f t="shared" si="20"/>
        <v>0</v>
      </c>
      <c r="G113" s="67">
        <v>0</v>
      </c>
      <c r="H113" s="67"/>
      <c r="I113" s="15">
        <f t="shared" si="21"/>
        <v>0</v>
      </c>
      <c r="J113" s="15">
        <f t="shared" si="21"/>
        <v>0</v>
      </c>
    </row>
    <row r="114" spans="1:10" ht="15">
      <c r="A114" s="104" t="s">
        <v>27</v>
      </c>
      <c r="B114" s="138" t="s">
        <v>194</v>
      </c>
      <c r="C114" s="67">
        <f aca="true" t="shared" si="22" ref="C114:J114">C115+C116+C117+C118+C119+C120+C121+C122</f>
        <v>0</v>
      </c>
      <c r="D114" s="67">
        <f t="shared" si="22"/>
        <v>0</v>
      </c>
      <c r="E114" s="67">
        <f t="shared" si="22"/>
        <v>0</v>
      </c>
      <c r="F114" s="67">
        <f t="shared" si="22"/>
        <v>0</v>
      </c>
      <c r="G114" s="67">
        <f t="shared" si="22"/>
        <v>0</v>
      </c>
      <c r="H114" s="67">
        <f t="shared" si="22"/>
        <v>0</v>
      </c>
      <c r="I114" s="67">
        <f t="shared" si="22"/>
        <v>0</v>
      </c>
      <c r="J114" s="67">
        <f t="shared" si="22"/>
        <v>0</v>
      </c>
    </row>
    <row r="115" spans="1:10" ht="15">
      <c r="A115" s="104" t="s">
        <v>29</v>
      </c>
      <c r="B115" s="139" t="s">
        <v>195</v>
      </c>
      <c r="C115" s="67"/>
      <c r="D115" s="67"/>
      <c r="E115" s="67"/>
      <c r="F115" s="67"/>
      <c r="G115" s="67"/>
      <c r="H115" s="67"/>
      <c r="I115" s="67"/>
      <c r="J115" s="67"/>
    </row>
    <row r="116" spans="1:10" ht="22.5">
      <c r="A116" s="104" t="s">
        <v>196</v>
      </c>
      <c r="B116" s="70" t="s">
        <v>197</v>
      </c>
      <c r="C116" s="67"/>
      <c r="D116" s="67"/>
      <c r="E116" s="67"/>
      <c r="F116" s="67"/>
      <c r="G116" s="67"/>
      <c r="H116" s="67"/>
      <c r="I116" s="67"/>
      <c r="J116" s="67"/>
    </row>
    <row r="117" spans="1:10" ht="22.5">
      <c r="A117" s="104" t="s">
        <v>198</v>
      </c>
      <c r="B117" s="59" t="s">
        <v>177</v>
      </c>
      <c r="C117" s="67"/>
      <c r="D117" s="67"/>
      <c r="E117" s="67"/>
      <c r="F117" s="67"/>
      <c r="G117" s="67"/>
      <c r="H117" s="67"/>
      <c r="I117" s="67"/>
      <c r="J117" s="67"/>
    </row>
    <row r="118" spans="1:10" ht="15">
      <c r="A118" s="104" t="s">
        <v>199</v>
      </c>
      <c r="B118" s="59" t="s">
        <v>200</v>
      </c>
      <c r="C118" s="67"/>
      <c r="D118" s="67"/>
      <c r="E118" s="67"/>
      <c r="F118" s="67"/>
      <c r="G118" s="67"/>
      <c r="H118" s="67"/>
      <c r="I118" s="67"/>
      <c r="J118" s="67"/>
    </row>
    <row r="119" spans="1:10" ht="15">
      <c r="A119" s="104" t="s">
        <v>201</v>
      </c>
      <c r="B119" s="59" t="s">
        <v>202</v>
      </c>
      <c r="C119" s="67"/>
      <c r="D119" s="67"/>
      <c r="E119" s="67"/>
      <c r="F119" s="67"/>
      <c r="G119" s="67"/>
      <c r="H119" s="67"/>
      <c r="I119" s="67"/>
      <c r="J119" s="67"/>
    </row>
    <row r="120" spans="1:10" ht="22.5">
      <c r="A120" s="104" t="s">
        <v>203</v>
      </c>
      <c r="B120" s="59" t="s">
        <v>183</v>
      </c>
      <c r="C120" s="67"/>
      <c r="D120" s="67"/>
      <c r="E120" s="67"/>
      <c r="F120" s="67"/>
      <c r="G120" s="67"/>
      <c r="H120" s="67"/>
      <c r="I120" s="67"/>
      <c r="J120" s="67"/>
    </row>
    <row r="121" spans="1:10" ht="15">
      <c r="A121" s="104" t="s">
        <v>204</v>
      </c>
      <c r="B121" s="59" t="s">
        <v>205</v>
      </c>
      <c r="C121" s="67"/>
      <c r="D121" s="67"/>
      <c r="E121" s="67"/>
      <c r="F121" s="67"/>
      <c r="G121" s="67"/>
      <c r="H121" s="67"/>
      <c r="I121" s="67"/>
      <c r="J121" s="67"/>
    </row>
    <row r="122" spans="1:10" ht="23.25" thickBot="1">
      <c r="A122" s="136" t="s">
        <v>206</v>
      </c>
      <c r="B122" s="59" t="s">
        <v>207</v>
      </c>
      <c r="C122" s="71"/>
      <c r="D122" s="71"/>
      <c r="E122" s="71"/>
      <c r="F122" s="71"/>
      <c r="G122" s="71"/>
      <c r="H122" s="71"/>
      <c r="I122" s="71"/>
      <c r="J122" s="71"/>
    </row>
    <row r="123" spans="1:10" ht="15.75" thickBot="1">
      <c r="A123" s="46" t="s">
        <v>31</v>
      </c>
      <c r="B123" s="72" t="s">
        <v>208</v>
      </c>
      <c r="C123" s="12">
        <f>+C124+C125</f>
        <v>0</v>
      </c>
      <c r="D123" s="12">
        <f>+D124+D125</f>
        <v>0</v>
      </c>
      <c r="E123" s="12">
        <f aca="true" t="shared" si="23" ref="E123:F125">D123+C123</f>
        <v>0</v>
      </c>
      <c r="F123" s="12">
        <f t="shared" si="23"/>
        <v>0</v>
      </c>
      <c r="G123" s="12">
        <f>+G124+G125</f>
        <v>0</v>
      </c>
      <c r="H123" s="12">
        <f>+H124+H125</f>
        <v>0</v>
      </c>
      <c r="I123" s="12">
        <f aca="true" t="shared" si="24" ref="I123:J125">H123+G123</f>
        <v>0</v>
      </c>
      <c r="J123" s="12">
        <f t="shared" si="24"/>
        <v>0</v>
      </c>
    </row>
    <row r="124" spans="1:10" ht="15">
      <c r="A124" s="104" t="s">
        <v>33</v>
      </c>
      <c r="B124" s="73" t="s">
        <v>209</v>
      </c>
      <c r="C124" s="15">
        <v>0</v>
      </c>
      <c r="D124" s="15"/>
      <c r="E124" s="15">
        <f t="shared" si="23"/>
        <v>0</v>
      </c>
      <c r="F124" s="15">
        <f t="shared" si="23"/>
        <v>0</v>
      </c>
      <c r="G124" s="15">
        <v>0</v>
      </c>
      <c r="H124" s="15"/>
      <c r="I124" s="15">
        <f t="shared" si="24"/>
        <v>0</v>
      </c>
      <c r="J124" s="15">
        <f t="shared" si="24"/>
        <v>0</v>
      </c>
    </row>
    <row r="125" spans="1:10" ht="15.75" thickBot="1">
      <c r="A125" s="111" t="s">
        <v>35</v>
      </c>
      <c r="B125" s="66" t="s">
        <v>210</v>
      </c>
      <c r="C125" s="22"/>
      <c r="D125" s="22"/>
      <c r="E125" s="15">
        <f t="shared" si="23"/>
        <v>0</v>
      </c>
      <c r="F125" s="15">
        <f t="shared" si="23"/>
        <v>0</v>
      </c>
      <c r="G125" s="22"/>
      <c r="H125" s="22"/>
      <c r="I125" s="15">
        <f t="shared" si="24"/>
        <v>0</v>
      </c>
      <c r="J125" s="15">
        <f t="shared" si="24"/>
        <v>0</v>
      </c>
    </row>
    <row r="126" spans="1:10" ht="15.75" thickBot="1">
      <c r="A126" s="46" t="s">
        <v>211</v>
      </c>
      <c r="B126" s="72" t="s">
        <v>212</v>
      </c>
      <c r="C126" s="12">
        <f aca="true" t="shared" si="25" ref="C126:J126">+C93+C109+C123</f>
        <v>35175</v>
      </c>
      <c r="D126" s="12">
        <f t="shared" si="25"/>
        <v>27153</v>
      </c>
      <c r="E126" s="12">
        <f t="shared" si="25"/>
        <v>8022</v>
      </c>
      <c r="F126" s="12">
        <f t="shared" si="25"/>
        <v>0</v>
      </c>
      <c r="G126" s="12">
        <f>+G93+G109+G123</f>
        <v>36451</v>
      </c>
      <c r="H126" s="12">
        <f t="shared" si="25"/>
        <v>28429</v>
      </c>
      <c r="I126" s="12">
        <f t="shared" si="25"/>
        <v>8022</v>
      </c>
      <c r="J126" s="12">
        <f t="shared" si="25"/>
        <v>0</v>
      </c>
    </row>
    <row r="127" spans="1:10" ht="21.75" thickBot="1">
      <c r="A127" s="46" t="s">
        <v>59</v>
      </c>
      <c r="B127" s="72" t="s">
        <v>213</v>
      </c>
      <c r="C127" s="12">
        <f aca="true" t="shared" si="26" ref="C127:J127">+C128+C129+C130</f>
        <v>0</v>
      </c>
      <c r="D127" s="12">
        <f t="shared" si="26"/>
        <v>0</v>
      </c>
      <c r="E127" s="12">
        <f t="shared" si="26"/>
        <v>0</v>
      </c>
      <c r="F127" s="12">
        <f t="shared" si="26"/>
        <v>0</v>
      </c>
      <c r="G127" s="12">
        <f t="shared" si="26"/>
        <v>0</v>
      </c>
      <c r="H127" s="12">
        <f t="shared" si="26"/>
        <v>0</v>
      </c>
      <c r="I127" s="12">
        <f t="shared" si="26"/>
        <v>0</v>
      </c>
      <c r="J127" s="12">
        <f t="shared" si="26"/>
        <v>0</v>
      </c>
    </row>
    <row r="128" spans="1:10" s="134" customFormat="1" ht="12.75">
      <c r="A128" s="104" t="s">
        <v>61</v>
      </c>
      <c r="B128" s="73" t="s">
        <v>214</v>
      </c>
      <c r="C128" s="67"/>
      <c r="D128" s="67"/>
      <c r="E128" s="67"/>
      <c r="F128" s="67"/>
      <c r="G128" s="67"/>
      <c r="H128" s="67"/>
      <c r="I128" s="67"/>
      <c r="J128" s="67"/>
    </row>
    <row r="129" spans="1:10" ht="22.5">
      <c r="A129" s="104" t="s">
        <v>63</v>
      </c>
      <c r="B129" s="73" t="s">
        <v>215</v>
      </c>
      <c r="C129" s="67"/>
      <c r="D129" s="67"/>
      <c r="E129" s="67"/>
      <c r="F129" s="67"/>
      <c r="G129" s="67"/>
      <c r="H129" s="67"/>
      <c r="I129" s="67"/>
      <c r="J129" s="67"/>
    </row>
    <row r="130" spans="1:10" ht="15.75" thickBot="1">
      <c r="A130" s="136" t="s">
        <v>65</v>
      </c>
      <c r="B130" s="77" t="s">
        <v>216</v>
      </c>
      <c r="C130" s="67"/>
      <c r="D130" s="67"/>
      <c r="E130" s="67"/>
      <c r="F130" s="67"/>
      <c r="G130" s="67"/>
      <c r="H130" s="67"/>
      <c r="I130" s="67"/>
      <c r="J130" s="67"/>
    </row>
    <row r="131" spans="1:10" ht="15.75" thickBot="1">
      <c r="A131" s="46" t="s">
        <v>81</v>
      </c>
      <c r="B131" s="72" t="s">
        <v>217</v>
      </c>
      <c r="C131" s="12">
        <f aca="true" t="shared" si="27" ref="C131:J131">+C132+C133+C134+C135</f>
        <v>0</v>
      </c>
      <c r="D131" s="12">
        <f t="shared" si="27"/>
        <v>0</v>
      </c>
      <c r="E131" s="12">
        <f t="shared" si="27"/>
        <v>0</v>
      </c>
      <c r="F131" s="12">
        <f t="shared" si="27"/>
        <v>0</v>
      </c>
      <c r="G131" s="12">
        <f t="shared" si="27"/>
        <v>0</v>
      </c>
      <c r="H131" s="12">
        <f t="shared" si="27"/>
        <v>0</v>
      </c>
      <c r="I131" s="12">
        <f t="shared" si="27"/>
        <v>0</v>
      </c>
      <c r="J131" s="12">
        <f t="shared" si="27"/>
        <v>0</v>
      </c>
    </row>
    <row r="132" spans="1:10" ht="15">
      <c r="A132" s="104" t="s">
        <v>83</v>
      </c>
      <c r="B132" s="73" t="s">
        <v>218</v>
      </c>
      <c r="C132" s="67"/>
      <c r="D132" s="67"/>
      <c r="E132" s="67"/>
      <c r="F132" s="67"/>
      <c r="G132" s="67"/>
      <c r="H132" s="67"/>
      <c r="I132" s="67"/>
      <c r="J132" s="67"/>
    </row>
    <row r="133" spans="1:10" ht="15">
      <c r="A133" s="104" t="s">
        <v>85</v>
      </c>
      <c r="B133" s="73" t="s">
        <v>219</v>
      </c>
      <c r="C133" s="67"/>
      <c r="D133" s="67"/>
      <c r="E133" s="67"/>
      <c r="F133" s="67"/>
      <c r="G133" s="67"/>
      <c r="H133" s="67"/>
      <c r="I133" s="67"/>
      <c r="J133" s="67"/>
    </row>
    <row r="134" spans="1:10" ht="15">
      <c r="A134" s="104" t="s">
        <v>87</v>
      </c>
      <c r="B134" s="73" t="s">
        <v>220</v>
      </c>
      <c r="C134" s="67"/>
      <c r="D134" s="67"/>
      <c r="E134" s="67"/>
      <c r="F134" s="67"/>
      <c r="G134" s="67"/>
      <c r="H134" s="67"/>
      <c r="I134" s="67"/>
      <c r="J134" s="67"/>
    </row>
    <row r="135" spans="1:10" s="134" customFormat="1" ht="13.5" thickBot="1">
      <c r="A135" s="136" t="s">
        <v>89</v>
      </c>
      <c r="B135" s="77" t="s">
        <v>221</v>
      </c>
      <c r="C135" s="67"/>
      <c r="D135" s="67"/>
      <c r="E135" s="67"/>
      <c r="F135" s="67"/>
      <c r="G135" s="67"/>
      <c r="H135" s="67"/>
      <c r="I135" s="67"/>
      <c r="J135" s="67"/>
    </row>
    <row r="136" spans="1:11" ht="15.75" thickBot="1">
      <c r="A136" s="46" t="s">
        <v>222</v>
      </c>
      <c r="B136" s="72" t="s">
        <v>223</v>
      </c>
      <c r="C136" s="23">
        <f>+C137+C138+C139+C140</f>
        <v>0</v>
      </c>
      <c r="D136" s="23">
        <f>+D137+D138+D139+D140</f>
        <v>0</v>
      </c>
      <c r="E136" s="23">
        <f>D136+C136</f>
        <v>0</v>
      </c>
      <c r="F136" s="23">
        <f>E136+D136</f>
        <v>0</v>
      </c>
      <c r="G136" s="23">
        <f>+G137+G138+G139+G140</f>
        <v>0</v>
      </c>
      <c r="H136" s="23">
        <f>+H137+H138+H139+H140</f>
        <v>0</v>
      </c>
      <c r="I136" s="23">
        <f>H136+G136</f>
        <v>0</v>
      </c>
      <c r="J136" s="23">
        <f>I136+H136</f>
        <v>0</v>
      </c>
      <c r="K136" s="140"/>
    </row>
    <row r="137" spans="1:10" ht="15">
      <c r="A137" s="104" t="s">
        <v>95</v>
      </c>
      <c r="B137" s="73" t="s">
        <v>224</v>
      </c>
      <c r="C137" s="67">
        <v>0</v>
      </c>
      <c r="D137" s="67"/>
      <c r="E137" s="67">
        <f>D137+C137</f>
        <v>0</v>
      </c>
      <c r="F137" s="67">
        <f>E137+D137</f>
        <v>0</v>
      </c>
      <c r="G137" s="67">
        <v>0</v>
      </c>
      <c r="H137" s="67"/>
      <c r="I137" s="67">
        <f>H137+G137</f>
        <v>0</v>
      </c>
      <c r="J137" s="67">
        <f>I137+H137</f>
        <v>0</v>
      </c>
    </row>
    <row r="138" spans="1:10" ht="15">
      <c r="A138" s="104" t="s">
        <v>97</v>
      </c>
      <c r="B138" s="73" t="s">
        <v>225</v>
      </c>
      <c r="C138" s="67"/>
      <c r="D138" s="67"/>
      <c r="E138" s="67"/>
      <c r="F138" s="67"/>
      <c r="G138" s="67"/>
      <c r="H138" s="67"/>
      <c r="I138" s="67"/>
      <c r="J138" s="67"/>
    </row>
    <row r="139" spans="1:10" s="134" customFormat="1" ht="12.75">
      <c r="A139" s="104" t="s">
        <v>99</v>
      </c>
      <c r="B139" s="73" t="s">
        <v>226</v>
      </c>
      <c r="C139" s="67"/>
      <c r="D139" s="67"/>
      <c r="E139" s="67"/>
      <c r="F139" s="67"/>
      <c r="G139" s="67"/>
      <c r="H139" s="67"/>
      <c r="I139" s="67"/>
      <c r="J139" s="67"/>
    </row>
    <row r="140" spans="1:10" s="134" customFormat="1" ht="13.5" thickBot="1">
      <c r="A140" s="136" t="s">
        <v>101</v>
      </c>
      <c r="B140" s="77" t="s">
        <v>227</v>
      </c>
      <c r="C140" s="67"/>
      <c r="D140" s="67"/>
      <c r="E140" s="67"/>
      <c r="F140" s="67"/>
      <c r="G140" s="67"/>
      <c r="H140" s="67"/>
      <c r="I140" s="67"/>
      <c r="J140" s="67"/>
    </row>
    <row r="141" spans="1:10" s="134" customFormat="1" ht="13.5" thickBot="1">
      <c r="A141" s="46" t="s">
        <v>103</v>
      </c>
      <c r="B141" s="72" t="s">
        <v>228</v>
      </c>
      <c r="C141" s="141">
        <f aca="true" t="shared" si="28" ref="C141:J141">+C142+C143+C144+C145</f>
        <v>0</v>
      </c>
      <c r="D141" s="141">
        <f t="shared" si="28"/>
        <v>0</v>
      </c>
      <c r="E141" s="141">
        <f t="shared" si="28"/>
        <v>0</v>
      </c>
      <c r="F141" s="141">
        <f t="shared" si="28"/>
        <v>0</v>
      </c>
      <c r="G141" s="141">
        <f t="shared" si="28"/>
        <v>0</v>
      </c>
      <c r="H141" s="141">
        <f t="shared" si="28"/>
        <v>0</v>
      </c>
      <c r="I141" s="141">
        <f t="shared" si="28"/>
        <v>0</v>
      </c>
      <c r="J141" s="141">
        <f t="shared" si="28"/>
        <v>0</v>
      </c>
    </row>
    <row r="142" spans="1:10" s="134" customFormat="1" ht="12.75">
      <c r="A142" s="104" t="s">
        <v>105</v>
      </c>
      <c r="B142" s="73" t="s">
        <v>229</v>
      </c>
      <c r="C142" s="67"/>
      <c r="D142" s="67"/>
      <c r="E142" s="67"/>
      <c r="F142" s="67"/>
      <c r="G142" s="67"/>
      <c r="H142" s="67"/>
      <c r="I142" s="67"/>
      <c r="J142" s="67"/>
    </row>
    <row r="143" spans="1:10" s="134" customFormat="1" ht="12.75">
      <c r="A143" s="104" t="s">
        <v>107</v>
      </c>
      <c r="B143" s="73" t="s">
        <v>230</v>
      </c>
      <c r="C143" s="67"/>
      <c r="D143" s="67"/>
      <c r="E143" s="67"/>
      <c r="F143" s="67"/>
      <c r="G143" s="67"/>
      <c r="H143" s="67"/>
      <c r="I143" s="67"/>
      <c r="J143" s="67"/>
    </row>
    <row r="144" spans="1:10" s="134" customFormat="1" ht="12.75">
      <c r="A144" s="104" t="s">
        <v>109</v>
      </c>
      <c r="B144" s="73" t="s">
        <v>231</v>
      </c>
      <c r="C144" s="67"/>
      <c r="D144" s="67"/>
      <c r="E144" s="67"/>
      <c r="F144" s="67"/>
      <c r="G144" s="67"/>
      <c r="H144" s="67"/>
      <c r="I144" s="67"/>
      <c r="J144" s="67"/>
    </row>
    <row r="145" spans="1:10" ht="15.75" thickBot="1">
      <c r="A145" s="104" t="s">
        <v>111</v>
      </c>
      <c r="B145" s="73" t="s">
        <v>232</v>
      </c>
      <c r="C145" s="67"/>
      <c r="D145" s="67"/>
      <c r="E145" s="67"/>
      <c r="F145" s="67"/>
      <c r="G145" s="67"/>
      <c r="H145" s="67"/>
      <c r="I145" s="67"/>
      <c r="J145" s="67"/>
    </row>
    <row r="146" spans="1:10" ht="15.75" thickBot="1">
      <c r="A146" s="46" t="s">
        <v>113</v>
      </c>
      <c r="B146" s="72" t="s">
        <v>233</v>
      </c>
      <c r="C146" s="142">
        <f aca="true" t="shared" si="29" ref="C146:J146">+C127+C131+C136+C141</f>
        <v>0</v>
      </c>
      <c r="D146" s="142">
        <f t="shared" si="29"/>
        <v>0</v>
      </c>
      <c r="E146" s="142">
        <f t="shared" si="29"/>
        <v>0</v>
      </c>
      <c r="F146" s="142">
        <f t="shared" si="29"/>
        <v>0</v>
      </c>
      <c r="G146" s="142">
        <f t="shared" si="29"/>
        <v>0</v>
      </c>
      <c r="H146" s="142">
        <f t="shared" si="29"/>
        <v>0</v>
      </c>
      <c r="I146" s="142">
        <f t="shared" si="29"/>
        <v>0</v>
      </c>
      <c r="J146" s="142">
        <f t="shared" si="29"/>
        <v>0</v>
      </c>
    </row>
    <row r="147" spans="1:10" ht="15.75" thickBot="1">
      <c r="A147" s="143" t="s">
        <v>234</v>
      </c>
      <c r="B147" s="144" t="s">
        <v>235</v>
      </c>
      <c r="C147" s="142">
        <f aca="true" t="shared" si="30" ref="C147:J147">+C126+C146</f>
        <v>35175</v>
      </c>
      <c r="D147" s="142">
        <f t="shared" si="30"/>
        <v>27153</v>
      </c>
      <c r="E147" s="142">
        <f t="shared" si="30"/>
        <v>8022</v>
      </c>
      <c r="F147" s="142">
        <f t="shared" si="30"/>
        <v>0</v>
      </c>
      <c r="G147" s="142">
        <f t="shared" si="30"/>
        <v>36451</v>
      </c>
      <c r="H147" s="142">
        <f t="shared" si="30"/>
        <v>28429</v>
      </c>
      <c r="I147" s="142">
        <f t="shared" si="30"/>
        <v>8022</v>
      </c>
      <c r="J147" s="142">
        <f t="shared" si="30"/>
        <v>0</v>
      </c>
    </row>
    <row r="148" spans="1:10" ht="15">
      <c r="A148" s="169"/>
      <c r="B148" s="170"/>
      <c r="C148" s="171"/>
      <c r="D148" s="171"/>
      <c r="E148" s="171"/>
      <c r="F148" s="171"/>
      <c r="G148" s="171"/>
      <c r="H148" s="171"/>
      <c r="I148" s="171"/>
      <c r="J148" s="171"/>
    </row>
    <row r="149" spans="1:10" ht="15">
      <c r="A149" s="169"/>
      <c r="B149" s="170"/>
      <c r="C149" s="171"/>
      <c r="D149" s="171"/>
      <c r="E149" s="171"/>
      <c r="F149" s="171"/>
      <c r="G149" s="171"/>
      <c r="H149" s="171"/>
      <c r="I149" s="171"/>
      <c r="J149" s="171"/>
    </row>
    <row r="150" spans="1:10" ht="15">
      <c r="A150" s="172"/>
      <c r="B150" s="173"/>
      <c r="C150" s="174"/>
      <c r="D150" s="174"/>
      <c r="E150" s="174"/>
      <c r="F150" s="174"/>
      <c r="G150" s="174"/>
      <c r="H150" s="174"/>
      <c r="I150" s="174"/>
      <c r="J150" s="174"/>
    </row>
    <row r="151" spans="1:10" ht="15">
      <c r="A151" s="145"/>
      <c r="B151" s="146"/>
      <c r="C151" s="147"/>
      <c r="D151" s="148"/>
      <c r="E151" s="148"/>
      <c r="F151" s="148"/>
      <c r="G151" s="147"/>
      <c r="H151" s="148"/>
      <c r="I151" s="148"/>
      <c r="J151" s="148"/>
    </row>
    <row r="152" spans="1:10" ht="15">
      <c r="A152" s="145"/>
      <c r="B152" s="146"/>
      <c r="C152" s="148"/>
      <c r="D152" s="148"/>
      <c r="E152" s="148"/>
      <c r="F152" s="148"/>
      <c r="G152" s="148"/>
      <c r="H152" s="148"/>
      <c r="I152" s="148"/>
      <c r="J152" s="148"/>
    </row>
    <row r="153" spans="1:10" ht="15">
      <c r="A153" s="172"/>
      <c r="B153" s="173"/>
      <c r="C153" s="174"/>
      <c r="D153" s="174"/>
      <c r="E153" s="174"/>
      <c r="F153" s="174"/>
      <c r="G153" s="174"/>
      <c r="H153" s="174"/>
      <c r="I153" s="174"/>
      <c r="J153" s="174"/>
    </row>
    <row r="154" spans="1:10" ht="15">
      <c r="A154" s="172"/>
      <c r="B154" s="173"/>
      <c r="C154" s="174"/>
      <c r="D154" s="174"/>
      <c r="E154" s="174"/>
      <c r="F154" s="174"/>
      <c r="G154" s="174"/>
      <c r="H154" s="174"/>
      <c r="I154" s="174"/>
      <c r="J154" s="174"/>
    </row>
    <row r="155" spans="1:10" ht="15">
      <c r="A155" s="172"/>
      <c r="B155" s="173"/>
      <c r="C155" s="174"/>
      <c r="D155" s="174"/>
      <c r="E155" s="174"/>
      <c r="F155" s="174"/>
      <c r="G155" s="174"/>
      <c r="H155" s="174"/>
      <c r="I155" s="174"/>
      <c r="J155" s="174"/>
    </row>
    <row r="156" spans="1:10" ht="15">
      <c r="A156" s="172"/>
      <c r="B156" s="173"/>
      <c r="C156" s="174"/>
      <c r="D156" s="174"/>
      <c r="E156" s="174"/>
      <c r="F156" s="174"/>
      <c r="G156" s="174"/>
      <c r="H156" s="174"/>
      <c r="I156" s="174"/>
      <c r="J156" s="174"/>
    </row>
  </sheetData>
  <sheetProtection/>
  <mergeCells count="14">
    <mergeCell ref="F5:F6"/>
    <mergeCell ref="C3:F3"/>
    <mergeCell ref="C90:F90"/>
    <mergeCell ref="A5:A6"/>
    <mergeCell ref="B5:B6"/>
    <mergeCell ref="C5:C6"/>
    <mergeCell ref="D5:D6"/>
    <mergeCell ref="E5:E6"/>
    <mergeCell ref="G90:J90"/>
    <mergeCell ref="G3:J3"/>
    <mergeCell ref="G5:G6"/>
    <mergeCell ref="H5:H6"/>
    <mergeCell ref="I5:I6"/>
    <mergeCell ref="J5:J6"/>
  </mergeCells>
  <printOptions/>
  <pageMargins left="0.3937007874015748" right="0.3937007874015748" top="1.141732283464567" bottom="0.5511811023622047" header="0.31496062992125984" footer="0.31496062992125984"/>
  <pageSetup horizontalDpi="600" verticalDpi="600" orientation="landscape" paperSize="9" r:id="rId1"/>
  <headerFooter>
    <oddHeader>&amp;C&amp;"-,Félkövér"&amp;9Tiszagyulaháza Aprajafalva Óvoda 2015.évi költségvetési bevételei és kiadásai, előirányzat csoportonként és kiemelt előirányzatonként&amp;R&amp;"-,Dőlt"&amp;8
 3.melléklet a 9/2016.(V.24.)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32"/>
  <sheetViews>
    <sheetView view="pageLayout" workbookViewId="0" topLeftCell="A1">
      <selection activeCell="F1" sqref="F1"/>
    </sheetView>
  </sheetViews>
  <sheetFormatPr defaultColWidth="9.140625" defaultRowHeight="15"/>
  <cols>
    <col min="1" max="1" width="4.8515625" style="175" customWidth="1"/>
    <col min="2" max="2" width="43.421875" style="176" customWidth="1"/>
    <col min="3" max="3" width="11.8515625" style="175" customWidth="1"/>
    <col min="4" max="4" width="10.28125" style="175" customWidth="1"/>
    <col min="5" max="5" width="36.140625" style="175" customWidth="1"/>
    <col min="6" max="6" width="12.8515625" style="175" customWidth="1"/>
    <col min="7" max="7" width="9.140625" style="175" customWidth="1"/>
    <col min="8" max="8" width="4.140625" style="175" customWidth="1"/>
    <col min="9" max="16384" width="9.140625" style="175" customWidth="1"/>
  </cols>
  <sheetData>
    <row r="3" spans="7:8" ht="15.75" thickBot="1">
      <c r="G3" s="94" t="s">
        <v>249</v>
      </c>
      <c r="H3" s="477"/>
    </row>
    <row r="4" spans="1:8" ht="18" customHeight="1" thickBot="1">
      <c r="A4" s="478" t="s">
        <v>2</v>
      </c>
      <c r="B4" s="177" t="s">
        <v>254</v>
      </c>
      <c r="C4" s="178"/>
      <c r="D4" s="179"/>
      <c r="E4" s="177" t="s">
        <v>257</v>
      </c>
      <c r="F4" s="180"/>
      <c r="G4" s="181"/>
      <c r="H4" s="477"/>
    </row>
    <row r="5" spans="1:8" s="186" customFormat="1" ht="35.25" customHeight="1" thickBot="1">
      <c r="A5" s="479"/>
      <c r="B5" s="182" t="s">
        <v>269</v>
      </c>
      <c r="C5" s="183" t="s">
        <v>426</v>
      </c>
      <c r="D5" s="184" t="s">
        <v>438</v>
      </c>
      <c r="E5" s="182" t="s">
        <v>269</v>
      </c>
      <c r="F5" s="185" t="s">
        <v>426</v>
      </c>
      <c r="G5" s="185" t="s">
        <v>440</v>
      </c>
      <c r="H5" s="477"/>
    </row>
    <row r="6" spans="1:8" s="192" customFormat="1" ht="12" customHeight="1" thickBot="1">
      <c r="A6" s="187" t="s">
        <v>240</v>
      </c>
      <c r="B6" s="188" t="s">
        <v>241</v>
      </c>
      <c r="C6" s="189" t="s">
        <v>242</v>
      </c>
      <c r="D6" s="190" t="s">
        <v>250</v>
      </c>
      <c r="E6" s="188" t="s">
        <v>251</v>
      </c>
      <c r="F6" s="191" t="s">
        <v>252</v>
      </c>
      <c r="G6" s="191" t="s">
        <v>375</v>
      </c>
      <c r="H6" s="477"/>
    </row>
    <row r="7" spans="1:8" ht="12.75" customHeight="1">
      <c r="A7" s="193" t="s">
        <v>4</v>
      </c>
      <c r="B7" s="194" t="s">
        <v>270</v>
      </c>
      <c r="C7" s="195">
        <v>63160</v>
      </c>
      <c r="D7" s="196">
        <v>53606</v>
      </c>
      <c r="E7" s="194" t="s">
        <v>271</v>
      </c>
      <c r="F7" s="197">
        <v>43874</v>
      </c>
      <c r="G7" s="197">
        <v>75981</v>
      </c>
      <c r="H7" s="477"/>
    </row>
    <row r="8" spans="1:8" ht="12.75" customHeight="1">
      <c r="A8" s="198" t="s">
        <v>17</v>
      </c>
      <c r="B8" s="199" t="s">
        <v>272</v>
      </c>
      <c r="C8" s="200">
        <v>21671</v>
      </c>
      <c r="D8" s="201">
        <v>75000</v>
      </c>
      <c r="E8" s="199" t="s">
        <v>166</v>
      </c>
      <c r="F8" s="202">
        <v>10378</v>
      </c>
      <c r="G8" s="202">
        <v>14107</v>
      </c>
      <c r="H8" s="477"/>
    </row>
    <row r="9" spans="1:8" ht="12.75" customHeight="1">
      <c r="A9" s="198" t="s">
        <v>31</v>
      </c>
      <c r="B9" s="199" t="s">
        <v>273</v>
      </c>
      <c r="C9" s="200">
        <v>21671</v>
      </c>
      <c r="D9" s="201">
        <v>21671</v>
      </c>
      <c r="E9" s="199" t="s">
        <v>274</v>
      </c>
      <c r="F9" s="202">
        <v>44706</v>
      </c>
      <c r="G9" s="202">
        <v>64460</v>
      </c>
      <c r="H9" s="477"/>
    </row>
    <row r="10" spans="1:8" ht="12.75" customHeight="1">
      <c r="A10" s="198" t="s">
        <v>211</v>
      </c>
      <c r="B10" s="199" t="s">
        <v>275</v>
      </c>
      <c r="C10" s="200">
        <v>7590</v>
      </c>
      <c r="D10" s="201">
        <v>14001</v>
      </c>
      <c r="E10" s="199" t="s">
        <v>168</v>
      </c>
      <c r="F10" s="202">
        <v>4354</v>
      </c>
      <c r="G10" s="202">
        <v>4354</v>
      </c>
      <c r="H10" s="477"/>
    </row>
    <row r="11" spans="1:8" ht="12.75" customHeight="1">
      <c r="A11" s="198" t="s">
        <v>59</v>
      </c>
      <c r="B11" s="203" t="s">
        <v>276</v>
      </c>
      <c r="C11" s="200">
        <v>13940</v>
      </c>
      <c r="D11" s="201">
        <v>11110</v>
      </c>
      <c r="E11" s="199" t="s">
        <v>170</v>
      </c>
      <c r="F11" s="202">
        <v>17939</v>
      </c>
      <c r="G11" s="202">
        <v>36526</v>
      </c>
      <c r="H11" s="477"/>
    </row>
    <row r="12" spans="1:8" ht="12.75" customHeight="1">
      <c r="A12" s="198" t="s">
        <v>81</v>
      </c>
      <c r="B12" s="199" t="s">
        <v>277</v>
      </c>
      <c r="C12" s="200"/>
      <c r="D12" s="204"/>
      <c r="E12" s="199" t="s">
        <v>278</v>
      </c>
      <c r="F12" s="202">
        <v>500</v>
      </c>
      <c r="G12" s="202">
        <v>1000</v>
      </c>
      <c r="H12" s="477"/>
    </row>
    <row r="13" spans="1:8" ht="12.75" customHeight="1">
      <c r="A13" s="198" t="s">
        <v>222</v>
      </c>
      <c r="B13" s="199" t="s">
        <v>80</v>
      </c>
      <c r="C13" s="200">
        <v>15390</v>
      </c>
      <c r="D13" s="201">
        <v>40713</v>
      </c>
      <c r="E13" s="205"/>
      <c r="F13" s="202"/>
      <c r="G13" s="202"/>
      <c r="H13" s="477"/>
    </row>
    <row r="14" spans="1:8" ht="12.75" customHeight="1">
      <c r="A14" s="198" t="s">
        <v>103</v>
      </c>
      <c r="B14" s="205"/>
      <c r="C14" s="200"/>
      <c r="D14" s="201"/>
      <c r="E14" s="205"/>
      <c r="F14" s="202"/>
      <c r="G14" s="202"/>
      <c r="H14" s="477"/>
    </row>
    <row r="15" spans="1:8" ht="12.75" customHeight="1">
      <c r="A15" s="198" t="s">
        <v>113</v>
      </c>
      <c r="B15" s="206"/>
      <c r="C15" s="200"/>
      <c r="D15" s="204"/>
      <c r="E15" s="205"/>
      <c r="F15" s="202"/>
      <c r="G15" s="202"/>
      <c r="H15" s="477"/>
    </row>
    <row r="16" spans="1:8" ht="12.75" customHeight="1">
      <c r="A16" s="198" t="s">
        <v>234</v>
      </c>
      <c r="B16" s="205"/>
      <c r="C16" s="200"/>
      <c r="D16" s="201"/>
      <c r="E16" s="205"/>
      <c r="F16" s="202"/>
      <c r="G16" s="202"/>
      <c r="H16" s="477"/>
    </row>
    <row r="17" spans="1:8" ht="12.75" customHeight="1">
      <c r="A17" s="198" t="s">
        <v>279</v>
      </c>
      <c r="B17" s="205"/>
      <c r="C17" s="200"/>
      <c r="D17" s="201"/>
      <c r="E17" s="205"/>
      <c r="F17" s="202"/>
      <c r="G17" s="202"/>
      <c r="H17" s="477"/>
    </row>
    <row r="18" spans="1:8" ht="12.75" customHeight="1" thickBot="1">
      <c r="A18" s="198" t="s">
        <v>280</v>
      </c>
      <c r="B18" s="207"/>
      <c r="C18" s="208"/>
      <c r="D18" s="209"/>
      <c r="E18" s="205"/>
      <c r="F18" s="210"/>
      <c r="G18" s="210"/>
      <c r="H18" s="477"/>
    </row>
    <row r="19" spans="1:8" ht="15.75" customHeight="1" thickBot="1">
      <c r="A19" s="211" t="s">
        <v>281</v>
      </c>
      <c r="B19" s="212" t="s">
        <v>282</v>
      </c>
      <c r="C19" s="213">
        <f>+C7+C8+C10+C11+C13+C14+C15+C16+C17+C18</f>
        <v>121751</v>
      </c>
      <c r="D19" s="213">
        <f>+D7+D8+D10+D11+D13+D14+D15+D16+D17+D18</f>
        <v>194430</v>
      </c>
      <c r="E19" s="212" t="s">
        <v>283</v>
      </c>
      <c r="F19" s="214">
        <f>SUM(F7:F18)</f>
        <v>121751</v>
      </c>
      <c r="G19" s="214">
        <f>SUM(G7:G18)</f>
        <v>196428</v>
      </c>
      <c r="H19" s="477"/>
    </row>
    <row r="20" spans="1:8" ht="12.75" customHeight="1">
      <c r="A20" s="215" t="s">
        <v>284</v>
      </c>
      <c r="B20" s="216" t="s">
        <v>285</v>
      </c>
      <c r="C20" s="217">
        <f>+C21+C22+C23+C24</f>
        <v>0</v>
      </c>
      <c r="D20" s="218">
        <v>1998</v>
      </c>
      <c r="E20" s="219" t="s">
        <v>286</v>
      </c>
      <c r="F20" s="220"/>
      <c r="G20" s="220"/>
      <c r="H20" s="477"/>
    </row>
    <row r="21" spans="1:8" ht="12.75" customHeight="1">
      <c r="A21" s="221" t="s">
        <v>287</v>
      </c>
      <c r="B21" s="219" t="s">
        <v>288</v>
      </c>
      <c r="C21" s="222"/>
      <c r="D21" s="223">
        <v>1998</v>
      </c>
      <c r="E21" s="219" t="s">
        <v>289</v>
      </c>
      <c r="F21" s="224"/>
      <c r="G21" s="224"/>
      <c r="H21" s="477"/>
    </row>
    <row r="22" spans="1:8" ht="12.75" customHeight="1">
      <c r="A22" s="221" t="s">
        <v>290</v>
      </c>
      <c r="B22" s="219" t="s">
        <v>291</v>
      </c>
      <c r="C22" s="222"/>
      <c r="D22" s="223"/>
      <c r="E22" s="219" t="s">
        <v>292</v>
      </c>
      <c r="F22" s="224"/>
      <c r="G22" s="224"/>
      <c r="H22" s="477"/>
    </row>
    <row r="23" spans="1:8" ht="12.75" customHeight="1">
      <c r="A23" s="221" t="s">
        <v>293</v>
      </c>
      <c r="B23" s="219" t="s">
        <v>294</v>
      </c>
      <c r="C23" s="222"/>
      <c r="D23" s="223"/>
      <c r="E23" s="219" t="s">
        <v>295</v>
      </c>
      <c r="F23" s="224"/>
      <c r="G23" s="224"/>
      <c r="H23" s="477"/>
    </row>
    <row r="24" spans="1:8" ht="12.75" customHeight="1">
      <c r="A24" s="221" t="s">
        <v>296</v>
      </c>
      <c r="B24" s="219" t="s">
        <v>297</v>
      </c>
      <c r="C24" s="222"/>
      <c r="D24" s="225"/>
      <c r="E24" s="216" t="s">
        <v>298</v>
      </c>
      <c r="F24" s="224"/>
      <c r="G24" s="224"/>
      <c r="H24" s="477"/>
    </row>
    <row r="25" spans="1:8" ht="12.75" customHeight="1">
      <c r="A25" s="221" t="s">
        <v>299</v>
      </c>
      <c r="B25" s="219" t="s">
        <v>300</v>
      </c>
      <c r="C25" s="226">
        <f>C26</f>
        <v>0</v>
      </c>
      <c r="D25" s="227"/>
      <c r="E25" s="219" t="s">
        <v>301</v>
      </c>
      <c r="F25" s="224"/>
      <c r="G25" s="224"/>
      <c r="H25" s="477"/>
    </row>
    <row r="26" spans="1:8" ht="12.75" customHeight="1">
      <c r="A26" s="215" t="s">
        <v>302</v>
      </c>
      <c r="B26" s="216" t="s">
        <v>303</v>
      </c>
      <c r="C26" s="228">
        <v>0</v>
      </c>
      <c r="D26" s="225"/>
      <c r="E26" s="194" t="s">
        <v>304</v>
      </c>
      <c r="F26" s="220"/>
      <c r="G26" s="220"/>
      <c r="H26" s="477"/>
    </row>
    <row r="27" spans="1:8" ht="12.75" customHeight="1" thickBot="1">
      <c r="A27" s="221" t="s">
        <v>305</v>
      </c>
      <c r="B27" s="219" t="s">
        <v>306</v>
      </c>
      <c r="C27" s="222"/>
      <c r="D27" s="223"/>
      <c r="E27" s="205"/>
      <c r="F27" s="224"/>
      <c r="G27" s="224"/>
      <c r="H27" s="477"/>
    </row>
    <row r="28" spans="1:8" ht="15.75" customHeight="1" thickBot="1">
      <c r="A28" s="211" t="s">
        <v>307</v>
      </c>
      <c r="B28" s="212" t="s">
        <v>308</v>
      </c>
      <c r="C28" s="213">
        <f>+C20+C25</f>
        <v>0</v>
      </c>
      <c r="D28" s="229">
        <v>1998</v>
      </c>
      <c r="E28" s="212" t="s">
        <v>309</v>
      </c>
      <c r="F28" s="214">
        <f>SUM(F20:F27)</f>
        <v>0</v>
      </c>
      <c r="G28" s="214"/>
      <c r="H28" s="477"/>
    </row>
    <row r="29" spans="1:8" ht="15.75" thickBot="1">
      <c r="A29" s="211" t="s">
        <v>310</v>
      </c>
      <c r="B29" s="230" t="s">
        <v>311</v>
      </c>
      <c r="C29" s="231">
        <f>+C19+C28</f>
        <v>121751</v>
      </c>
      <c r="D29" s="232">
        <f>D19+D28</f>
        <v>196428</v>
      </c>
      <c r="E29" s="233" t="s">
        <v>312</v>
      </c>
      <c r="F29" s="234">
        <f>+F19+F28</f>
        <v>121751</v>
      </c>
      <c r="G29" s="231">
        <f>G19</f>
        <v>196428</v>
      </c>
      <c r="H29" s="477"/>
    </row>
    <row r="30" spans="1:8" ht="15.75" thickBot="1">
      <c r="A30" s="211" t="s">
        <v>313</v>
      </c>
      <c r="B30" s="230" t="s">
        <v>314</v>
      </c>
      <c r="C30" s="231"/>
      <c r="D30" s="232"/>
      <c r="E30" s="233" t="s">
        <v>315</v>
      </c>
      <c r="F30" s="234"/>
      <c r="G30" s="231" t="str">
        <f>IF(C19-G19&gt;0,C19-G19,"-")</f>
        <v>-</v>
      </c>
      <c r="H30" s="477"/>
    </row>
    <row r="31" spans="1:8" ht="15.75" thickBot="1">
      <c r="A31" s="211" t="s">
        <v>316</v>
      </c>
      <c r="B31" s="230" t="s">
        <v>317</v>
      </c>
      <c r="C31" s="231"/>
      <c r="D31" s="232"/>
      <c r="E31" s="233" t="s">
        <v>318</v>
      </c>
      <c r="F31" s="234"/>
      <c r="G31" s="231"/>
      <c r="H31" s="477"/>
    </row>
    <row r="32" spans="2:6" ht="18.75">
      <c r="B32" s="480"/>
      <c r="C32" s="480"/>
      <c r="D32" s="480"/>
      <c r="E32" s="480"/>
      <c r="F32" s="235"/>
    </row>
  </sheetData>
  <sheetProtection/>
  <mergeCells count="3">
    <mergeCell ref="H3:H31"/>
    <mergeCell ref="A4:A5"/>
    <mergeCell ref="B32:E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2015. évi működési bevételeinek és kiadásainak mérlege&amp;R&amp;"-,Dőlt"&amp;8
 5.melléklet a 9/2016 (V.24.)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view="pageLayout" workbookViewId="0" topLeftCell="A1">
      <selection activeCell="E1" sqref="E1"/>
    </sheetView>
  </sheetViews>
  <sheetFormatPr defaultColWidth="9.140625" defaultRowHeight="15"/>
  <cols>
    <col min="1" max="1" width="5.8515625" style="175" customWidth="1"/>
    <col min="2" max="2" width="42.7109375" style="176" customWidth="1"/>
    <col min="3" max="3" width="12.7109375" style="175" customWidth="1"/>
    <col min="4" max="4" width="12.421875" style="175" customWidth="1"/>
    <col min="5" max="5" width="40.28125" style="175" customWidth="1"/>
    <col min="6" max="6" width="11.421875" style="175" customWidth="1"/>
    <col min="7" max="7" width="4.140625" style="175" customWidth="1"/>
    <col min="8" max="16384" width="9.140625" style="175" customWidth="1"/>
  </cols>
  <sheetData>
    <row r="1" spans="2:7" ht="15.75">
      <c r="B1" s="236"/>
      <c r="C1" s="237"/>
      <c r="D1" s="237"/>
      <c r="E1" s="237"/>
      <c r="F1" s="237"/>
      <c r="G1" s="477"/>
    </row>
    <row r="2" spans="6:7" ht="15.75" thickBot="1">
      <c r="F2" s="94" t="s">
        <v>249</v>
      </c>
      <c r="G2" s="477"/>
    </row>
    <row r="3" spans="1:7" ht="15.75" thickBot="1">
      <c r="A3" s="481" t="s">
        <v>2</v>
      </c>
      <c r="B3" s="177" t="s">
        <v>254</v>
      </c>
      <c r="C3" s="178"/>
      <c r="D3" s="179"/>
      <c r="E3" s="177" t="s">
        <v>257</v>
      </c>
      <c r="F3" s="181"/>
      <c r="G3" s="477"/>
    </row>
    <row r="4" spans="1:7" s="186" customFormat="1" ht="36.75" thickBot="1">
      <c r="A4" s="482"/>
      <c r="B4" s="182" t="s">
        <v>269</v>
      </c>
      <c r="C4" s="183" t="s">
        <v>426</v>
      </c>
      <c r="D4" s="184" t="s">
        <v>438</v>
      </c>
      <c r="E4" s="182" t="s">
        <v>269</v>
      </c>
      <c r="F4" s="183" t="s">
        <v>426</v>
      </c>
      <c r="G4" s="477"/>
    </row>
    <row r="5" spans="1:7" s="186" customFormat="1" ht="13.5" thickBot="1">
      <c r="A5" s="187" t="s">
        <v>240</v>
      </c>
      <c r="B5" s="188" t="s">
        <v>241</v>
      </c>
      <c r="C5" s="189" t="s">
        <v>242</v>
      </c>
      <c r="D5" s="190"/>
      <c r="E5" s="188" t="s">
        <v>250</v>
      </c>
      <c r="F5" s="191" t="s">
        <v>251</v>
      </c>
      <c r="G5" s="477"/>
    </row>
    <row r="6" spans="1:7" ht="12.75" customHeight="1">
      <c r="A6" s="193" t="s">
        <v>4</v>
      </c>
      <c r="B6" s="194" t="s">
        <v>319</v>
      </c>
      <c r="C6" s="195">
        <v>52096</v>
      </c>
      <c r="D6" s="196">
        <v>100457</v>
      </c>
      <c r="E6" s="194" t="s">
        <v>190</v>
      </c>
      <c r="F6" s="197">
        <v>67214</v>
      </c>
      <c r="G6" s="477"/>
    </row>
    <row r="7" spans="1:7" ht="15">
      <c r="A7" s="198" t="s">
        <v>17</v>
      </c>
      <c r="B7" s="199" t="s">
        <v>320</v>
      </c>
      <c r="C7" s="200">
        <v>52096</v>
      </c>
      <c r="D7" s="201">
        <v>52086</v>
      </c>
      <c r="E7" s="199" t="s">
        <v>321</v>
      </c>
      <c r="F7" s="202">
        <v>31664</v>
      </c>
      <c r="G7" s="477"/>
    </row>
    <row r="8" spans="1:7" ht="12.75" customHeight="1">
      <c r="A8" s="198" t="s">
        <v>31</v>
      </c>
      <c r="B8" s="199" t="s">
        <v>322</v>
      </c>
      <c r="C8" s="200"/>
      <c r="D8" s="201">
        <v>23</v>
      </c>
      <c r="E8" s="199" t="s">
        <v>192</v>
      </c>
      <c r="F8" s="202">
        <v>21236</v>
      </c>
      <c r="G8" s="477"/>
    </row>
    <row r="9" spans="1:7" ht="12.75" customHeight="1">
      <c r="A9" s="198" t="s">
        <v>211</v>
      </c>
      <c r="B9" s="199" t="s">
        <v>323</v>
      </c>
      <c r="C9" s="200"/>
      <c r="D9" s="201"/>
      <c r="E9" s="199" t="s">
        <v>324</v>
      </c>
      <c r="F9" s="202"/>
      <c r="G9" s="477"/>
    </row>
    <row r="10" spans="1:7" ht="12.75" customHeight="1">
      <c r="A10" s="198" t="s">
        <v>59</v>
      </c>
      <c r="B10" s="199" t="s">
        <v>325</v>
      </c>
      <c r="C10" s="200"/>
      <c r="D10" s="201"/>
      <c r="E10" s="199" t="s">
        <v>194</v>
      </c>
      <c r="F10" s="202">
        <v>30005</v>
      </c>
      <c r="G10" s="477"/>
    </row>
    <row r="11" spans="1:7" ht="12.75" customHeight="1">
      <c r="A11" s="198" t="s">
        <v>81</v>
      </c>
      <c r="B11" s="199" t="s">
        <v>326</v>
      </c>
      <c r="C11" s="238">
        <v>0</v>
      </c>
      <c r="D11" s="204">
        <v>1900</v>
      </c>
      <c r="E11" s="205"/>
      <c r="F11" s="202"/>
      <c r="G11" s="477"/>
    </row>
    <row r="12" spans="1:7" ht="12.75" customHeight="1">
      <c r="A12" s="198" t="s">
        <v>222</v>
      </c>
      <c r="B12" s="205"/>
      <c r="C12" s="200"/>
      <c r="D12" s="201"/>
      <c r="E12" s="205"/>
      <c r="F12" s="202"/>
      <c r="G12" s="477"/>
    </row>
    <row r="13" spans="1:7" ht="12.75" customHeight="1">
      <c r="A13" s="198" t="s">
        <v>103</v>
      </c>
      <c r="B13" s="205"/>
      <c r="C13" s="200"/>
      <c r="D13" s="201"/>
      <c r="E13" s="205"/>
      <c r="F13" s="202"/>
      <c r="G13" s="477"/>
    </row>
    <row r="14" spans="1:7" ht="12.75" customHeight="1">
      <c r="A14" s="198" t="s">
        <v>113</v>
      </c>
      <c r="B14" s="205"/>
      <c r="C14" s="238"/>
      <c r="D14" s="204"/>
      <c r="E14" s="205"/>
      <c r="F14" s="202"/>
      <c r="G14" s="477"/>
    </row>
    <row r="15" spans="1:7" ht="15">
      <c r="A15" s="198" t="s">
        <v>234</v>
      </c>
      <c r="B15" s="205"/>
      <c r="C15" s="238"/>
      <c r="D15" s="204"/>
      <c r="E15" s="205"/>
      <c r="F15" s="202"/>
      <c r="G15" s="477"/>
    </row>
    <row r="16" spans="1:7" ht="12.75" customHeight="1" thickBot="1">
      <c r="A16" s="239" t="s">
        <v>279</v>
      </c>
      <c r="B16" s="240"/>
      <c r="C16" s="241"/>
      <c r="D16" s="242"/>
      <c r="E16" s="243" t="s">
        <v>278</v>
      </c>
      <c r="F16" s="244"/>
      <c r="G16" s="477"/>
    </row>
    <row r="17" spans="1:7" ht="15.75" customHeight="1" thickBot="1">
      <c r="A17" s="211" t="s">
        <v>280</v>
      </c>
      <c r="B17" s="212" t="s">
        <v>327</v>
      </c>
      <c r="C17" s="213">
        <f>+C6+C8+C9+C11+C12+C13+C14+C15+C16</f>
        <v>52096</v>
      </c>
      <c r="D17" s="213">
        <f>D6+D9+D11+D8</f>
        <v>102380</v>
      </c>
      <c r="E17" s="212" t="s">
        <v>328</v>
      </c>
      <c r="F17" s="214">
        <f>F6+F8+F10</f>
        <v>118455</v>
      </c>
      <c r="G17" s="477"/>
    </row>
    <row r="18" spans="1:7" ht="12.75" customHeight="1">
      <c r="A18" s="193" t="s">
        <v>281</v>
      </c>
      <c r="B18" s="245" t="s">
        <v>329</v>
      </c>
      <c r="C18" s="246">
        <f>+C19+C20+C21+C22+C23</f>
        <v>1573</v>
      </c>
      <c r="D18" s="247">
        <v>16075</v>
      </c>
      <c r="E18" s="219" t="s">
        <v>286</v>
      </c>
      <c r="F18" s="248"/>
      <c r="G18" s="477"/>
    </row>
    <row r="19" spans="1:7" ht="12.75" customHeight="1">
      <c r="A19" s="198" t="s">
        <v>284</v>
      </c>
      <c r="B19" s="249" t="s">
        <v>330</v>
      </c>
      <c r="C19" s="222">
        <v>1573</v>
      </c>
      <c r="D19" s="223">
        <v>16075</v>
      </c>
      <c r="E19" s="219" t="s">
        <v>331</v>
      </c>
      <c r="F19" s="224"/>
      <c r="G19" s="477"/>
    </row>
    <row r="20" spans="1:7" ht="12.75" customHeight="1">
      <c r="A20" s="193" t="s">
        <v>287</v>
      </c>
      <c r="B20" s="249" t="s">
        <v>332</v>
      </c>
      <c r="C20" s="222"/>
      <c r="D20" s="223"/>
      <c r="E20" s="219" t="s">
        <v>292</v>
      </c>
      <c r="F20" s="224"/>
      <c r="G20" s="477"/>
    </row>
    <row r="21" spans="1:7" ht="12.75" customHeight="1">
      <c r="A21" s="198" t="s">
        <v>290</v>
      </c>
      <c r="B21" s="249" t="s">
        <v>333</v>
      </c>
      <c r="C21" s="222"/>
      <c r="D21" s="223"/>
      <c r="E21" s="219" t="s">
        <v>295</v>
      </c>
      <c r="F21" s="224"/>
      <c r="G21" s="477"/>
    </row>
    <row r="22" spans="1:7" ht="12.75" customHeight="1">
      <c r="A22" s="193" t="s">
        <v>293</v>
      </c>
      <c r="B22" s="249" t="s">
        <v>334</v>
      </c>
      <c r="C22" s="222"/>
      <c r="D22" s="225"/>
      <c r="E22" s="216" t="s">
        <v>298</v>
      </c>
      <c r="F22" s="224"/>
      <c r="G22" s="477"/>
    </row>
    <row r="23" spans="1:7" ht="12.75" customHeight="1">
      <c r="A23" s="198" t="s">
        <v>296</v>
      </c>
      <c r="B23" s="250" t="s">
        <v>335</v>
      </c>
      <c r="C23" s="222"/>
      <c r="D23" s="223"/>
      <c r="E23" s="219" t="s">
        <v>336</v>
      </c>
      <c r="F23" s="224"/>
      <c r="G23" s="477"/>
    </row>
    <row r="24" spans="1:7" ht="12.75" customHeight="1">
      <c r="A24" s="193" t="s">
        <v>299</v>
      </c>
      <c r="B24" s="251" t="s">
        <v>337</v>
      </c>
      <c r="C24" s="226">
        <f>+C25+C26+C27+C28+C29</f>
        <v>0</v>
      </c>
      <c r="D24" s="247"/>
      <c r="E24" s="252" t="s">
        <v>304</v>
      </c>
      <c r="F24" s="224"/>
      <c r="G24" s="477"/>
    </row>
    <row r="25" spans="1:7" ht="12.75" customHeight="1">
      <c r="A25" s="198" t="s">
        <v>302</v>
      </c>
      <c r="B25" s="250" t="s">
        <v>338</v>
      </c>
      <c r="C25" s="222"/>
      <c r="D25" s="253"/>
      <c r="E25" s="252" t="s">
        <v>339</v>
      </c>
      <c r="F25" s="224"/>
      <c r="G25" s="477"/>
    </row>
    <row r="26" spans="1:7" ht="12.75" customHeight="1">
      <c r="A26" s="193" t="s">
        <v>305</v>
      </c>
      <c r="B26" s="250" t="s">
        <v>340</v>
      </c>
      <c r="C26" s="222"/>
      <c r="D26" s="253"/>
      <c r="E26" s="254"/>
      <c r="F26" s="224"/>
      <c r="G26" s="477"/>
    </row>
    <row r="27" spans="1:7" ht="12.75" customHeight="1">
      <c r="A27" s="198" t="s">
        <v>307</v>
      </c>
      <c r="B27" s="249" t="s">
        <v>341</v>
      </c>
      <c r="C27" s="222"/>
      <c r="D27" s="253"/>
      <c r="E27" s="255"/>
      <c r="F27" s="224"/>
      <c r="G27" s="477"/>
    </row>
    <row r="28" spans="1:7" ht="12.75" customHeight="1">
      <c r="A28" s="193" t="s">
        <v>310</v>
      </c>
      <c r="B28" s="256" t="s">
        <v>342</v>
      </c>
      <c r="C28" s="222"/>
      <c r="D28" s="223"/>
      <c r="E28" s="205"/>
      <c r="F28" s="224"/>
      <c r="G28" s="477"/>
    </row>
    <row r="29" spans="1:7" ht="12.75" customHeight="1" thickBot="1">
      <c r="A29" s="198" t="s">
        <v>313</v>
      </c>
      <c r="B29" s="257" t="s">
        <v>343</v>
      </c>
      <c r="C29" s="222"/>
      <c r="D29" s="253"/>
      <c r="E29" s="255"/>
      <c r="F29" s="224"/>
      <c r="G29" s="477"/>
    </row>
    <row r="30" spans="1:7" ht="21.75" customHeight="1" thickBot="1">
      <c r="A30" s="211" t="s">
        <v>316</v>
      </c>
      <c r="B30" s="212" t="s">
        <v>344</v>
      </c>
      <c r="C30" s="213">
        <f>+C18+C24</f>
        <v>1573</v>
      </c>
      <c r="D30" s="213">
        <f>+D18+D24</f>
        <v>16075</v>
      </c>
      <c r="E30" s="212" t="s">
        <v>345</v>
      </c>
      <c r="F30" s="214">
        <f>SUM(F18:F29)</f>
        <v>0</v>
      </c>
      <c r="G30" s="477"/>
    </row>
    <row r="31" spans="1:7" ht="15.75" thickBot="1">
      <c r="A31" s="211" t="s">
        <v>346</v>
      </c>
      <c r="B31" s="230" t="s">
        <v>347</v>
      </c>
      <c r="C31" s="231">
        <f>+C17+C30</f>
        <v>53669</v>
      </c>
      <c r="D31" s="231">
        <f>+D17+D30</f>
        <v>118455</v>
      </c>
      <c r="E31" s="230" t="s">
        <v>348</v>
      </c>
      <c r="F31" s="231">
        <f>+F17+F30</f>
        <v>118455</v>
      </c>
      <c r="G31" s="477"/>
    </row>
    <row r="32" spans="1:7" ht="15.75" thickBot="1">
      <c r="A32" s="211" t="s">
        <v>349</v>
      </c>
      <c r="B32" s="230" t="s">
        <v>314</v>
      </c>
      <c r="C32" s="231"/>
      <c r="D32" s="232"/>
      <c r="E32" s="230" t="s">
        <v>315</v>
      </c>
      <c r="F32" s="231" t="str">
        <f>IF(C17-F17&gt;0,C17-F17,"-")</f>
        <v>-</v>
      </c>
      <c r="G32" s="477"/>
    </row>
    <row r="33" spans="1:7" ht="15.75" thickBot="1">
      <c r="A33" s="211" t="s">
        <v>350</v>
      </c>
      <c r="B33" s="230" t="s">
        <v>317</v>
      </c>
      <c r="C33" s="231"/>
      <c r="D33" s="232"/>
      <c r="E33" s="230" t="s">
        <v>318</v>
      </c>
      <c r="F33" s="231" t="str">
        <f>IF(C17+C18-F31&gt;0,C17+C18-F31,"-")</f>
        <v>-</v>
      </c>
      <c r="G33" s="477"/>
    </row>
  </sheetData>
  <sheetProtection/>
  <mergeCells count="2">
    <mergeCell ref="G1:G3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2015. évi felhalmozási célú bevételeinek és kiadásainak mérlege&amp;R&amp;"-,Dőlt"&amp;8
 6.melléklet a 9/2016.(V.24.)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8"/>
  <sheetViews>
    <sheetView view="pageLayout" workbookViewId="0" topLeftCell="A1">
      <selection activeCell="I1" sqref="I1"/>
    </sheetView>
  </sheetViews>
  <sheetFormatPr defaultColWidth="9.140625" defaultRowHeight="15"/>
  <cols>
    <col min="1" max="1" width="7.57421875" style="149" customWidth="1"/>
    <col min="2" max="2" width="53.8515625" style="150" customWidth="1"/>
    <col min="3" max="3" width="8.8515625" style="151" customWidth="1"/>
    <col min="4" max="4" width="9.00390625" style="151" customWidth="1"/>
    <col min="5" max="5" width="8.00390625" style="151" customWidth="1"/>
    <col min="6" max="6" width="8.421875" style="151" customWidth="1"/>
    <col min="7" max="7" width="8.8515625" style="151" customWidth="1"/>
    <col min="8" max="8" width="9.00390625" style="151" customWidth="1"/>
    <col min="9" max="9" width="8.00390625" style="151" customWidth="1"/>
    <col min="10" max="10" width="8.421875" style="151" customWidth="1"/>
    <col min="11" max="16384" width="9.140625" style="98" customWidth="1"/>
  </cols>
  <sheetData>
    <row r="1" spans="1:10" s="86" customFormat="1" ht="15.75">
      <c r="A1" s="83"/>
      <c r="B1" s="84"/>
      <c r="C1" s="85"/>
      <c r="D1" s="85"/>
      <c r="E1" s="85"/>
      <c r="F1" s="85"/>
      <c r="G1" s="85"/>
      <c r="H1" s="85"/>
      <c r="I1" s="85"/>
      <c r="J1" s="85"/>
    </row>
    <row r="2" spans="1:10" s="95" customFormat="1" ht="14.25" thickBot="1">
      <c r="A2" s="93"/>
      <c r="B2" s="93"/>
      <c r="C2" s="94"/>
      <c r="D2" s="94"/>
      <c r="E2" s="94"/>
      <c r="F2" s="94"/>
      <c r="G2" s="94"/>
      <c r="H2" s="94"/>
      <c r="I2" s="94"/>
      <c r="J2" s="94" t="s">
        <v>249</v>
      </c>
    </row>
    <row r="3" spans="1:10" ht="15.75" thickBot="1">
      <c r="A3" s="96" t="s">
        <v>261</v>
      </c>
      <c r="B3" s="152" t="s">
        <v>253</v>
      </c>
      <c r="C3" s="476" t="s">
        <v>426</v>
      </c>
      <c r="D3" s="468"/>
      <c r="E3" s="468"/>
      <c r="F3" s="469"/>
      <c r="G3" s="476" t="s">
        <v>438</v>
      </c>
      <c r="H3" s="468"/>
      <c r="I3" s="468"/>
      <c r="J3" s="469"/>
    </row>
    <row r="4" spans="1:10" s="102" customFormat="1" ht="16.5" thickBot="1">
      <c r="A4" s="99" t="s">
        <v>240</v>
      </c>
      <c r="B4" s="100" t="s">
        <v>241</v>
      </c>
      <c r="C4" s="101" t="s">
        <v>242</v>
      </c>
      <c r="D4" s="101" t="s">
        <v>250</v>
      </c>
      <c r="E4" s="101" t="s">
        <v>251</v>
      </c>
      <c r="F4" s="101" t="s">
        <v>252</v>
      </c>
      <c r="G4" s="101" t="s">
        <v>375</v>
      </c>
      <c r="H4" s="101" t="s">
        <v>417</v>
      </c>
      <c r="I4" s="101" t="s">
        <v>418</v>
      </c>
      <c r="J4" s="101" t="s">
        <v>419</v>
      </c>
    </row>
    <row r="5" spans="1:10" s="102" customFormat="1" ht="15.75">
      <c r="A5" s="472"/>
      <c r="B5" s="474" t="s">
        <v>254</v>
      </c>
      <c r="C5" s="470" t="s">
        <v>265</v>
      </c>
      <c r="D5" s="472" t="s">
        <v>263</v>
      </c>
      <c r="E5" s="472" t="s">
        <v>266</v>
      </c>
      <c r="F5" s="472" t="s">
        <v>267</v>
      </c>
      <c r="G5" s="470" t="s">
        <v>265</v>
      </c>
      <c r="H5" s="472" t="s">
        <v>263</v>
      </c>
      <c r="I5" s="472" t="s">
        <v>266</v>
      </c>
      <c r="J5" s="472" t="s">
        <v>267</v>
      </c>
    </row>
    <row r="6" spans="1:10" s="102" customFormat="1" ht="16.5" thickBot="1">
      <c r="A6" s="473"/>
      <c r="B6" s="475"/>
      <c r="C6" s="471"/>
      <c r="D6" s="473"/>
      <c r="E6" s="473"/>
      <c r="F6" s="473"/>
      <c r="G6" s="471"/>
      <c r="H6" s="473"/>
      <c r="I6" s="473"/>
      <c r="J6" s="473"/>
    </row>
    <row r="7" spans="1:10" s="102" customFormat="1" ht="16.5" thickBot="1">
      <c r="A7" s="103" t="s">
        <v>4</v>
      </c>
      <c r="B7" s="11" t="s">
        <v>5</v>
      </c>
      <c r="C7" s="12">
        <f>D7+E7+F7</f>
        <v>63160</v>
      </c>
      <c r="D7" s="12">
        <f>D8+D9+D10+D11+D12</f>
        <v>63160</v>
      </c>
      <c r="E7" s="12">
        <f>E8+E9+E10+E11</f>
        <v>0</v>
      </c>
      <c r="F7" s="12">
        <f>F8+F9+F10+F11</f>
        <v>0</v>
      </c>
      <c r="G7" s="12">
        <f>H7+I7+J7</f>
        <v>53606</v>
      </c>
      <c r="H7" s="12">
        <f>H8+H9+H10+H11+H12</f>
        <v>53606</v>
      </c>
      <c r="I7" s="12">
        <f>I8+I9+I10+I11</f>
        <v>0</v>
      </c>
      <c r="J7" s="12">
        <f>J8+J9+J10+J11</f>
        <v>0</v>
      </c>
    </row>
    <row r="8" spans="1:10" s="106" customFormat="1" ht="15">
      <c r="A8" s="104" t="s">
        <v>6</v>
      </c>
      <c r="B8" s="105" t="s">
        <v>7</v>
      </c>
      <c r="C8" s="15">
        <f>D8+E8+F8</f>
        <v>17622</v>
      </c>
      <c r="D8" s="15">
        <v>17622</v>
      </c>
      <c r="E8" s="15"/>
      <c r="F8" s="15"/>
      <c r="G8" s="15">
        <f>H8+I8+J8</f>
        <v>13817</v>
      </c>
      <c r="H8" s="15">
        <v>13817</v>
      </c>
      <c r="I8" s="15"/>
      <c r="J8" s="15"/>
    </row>
    <row r="9" spans="1:10" s="109" customFormat="1" ht="15">
      <c r="A9" s="107" t="s">
        <v>8</v>
      </c>
      <c r="B9" s="108" t="s">
        <v>9</v>
      </c>
      <c r="C9" s="15">
        <f>D9+E9+F9</f>
        <v>14431</v>
      </c>
      <c r="D9" s="19">
        <v>14431</v>
      </c>
      <c r="E9" s="15"/>
      <c r="F9" s="15"/>
      <c r="G9" s="15">
        <f>H9+I9+J9</f>
        <v>14101</v>
      </c>
      <c r="H9" s="19">
        <v>14101</v>
      </c>
      <c r="I9" s="15"/>
      <c r="J9" s="15"/>
    </row>
    <row r="10" spans="1:10" s="109" customFormat="1" ht="15">
      <c r="A10" s="107" t="s">
        <v>10</v>
      </c>
      <c r="B10" s="108" t="s">
        <v>11</v>
      </c>
      <c r="C10" s="15">
        <f>D10+E10+F10</f>
        <v>15035</v>
      </c>
      <c r="D10" s="19">
        <v>15035</v>
      </c>
      <c r="E10" s="15"/>
      <c r="F10" s="15"/>
      <c r="G10" s="15">
        <f>H10+I10+J10</f>
        <v>17192</v>
      </c>
      <c r="H10" s="19">
        <v>17192</v>
      </c>
      <c r="I10" s="15"/>
      <c r="J10" s="15"/>
    </row>
    <row r="11" spans="1:10" s="109" customFormat="1" ht="15">
      <c r="A11" s="107" t="s">
        <v>12</v>
      </c>
      <c r="B11" s="108" t="s">
        <v>13</v>
      </c>
      <c r="C11" s="15">
        <f>D11+E11+F11</f>
        <v>1200</v>
      </c>
      <c r="D11" s="19">
        <v>1200</v>
      </c>
      <c r="E11" s="15"/>
      <c r="F11" s="15"/>
      <c r="G11" s="15">
        <f>H11+I11+J11</f>
        <v>1200</v>
      </c>
      <c r="H11" s="19">
        <v>1200</v>
      </c>
      <c r="I11" s="15"/>
      <c r="J11" s="15"/>
    </row>
    <row r="12" spans="1:10" s="106" customFormat="1" ht="15.75" thickBot="1">
      <c r="A12" s="111" t="s">
        <v>15</v>
      </c>
      <c r="B12" s="112" t="s">
        <v>16</v>
      </c>
      <c r="C12" s="15">
        <v>14872</v>
      </c>
      <c r="D12" s="15">
        <v>14872</v>
      </c>
      <c r="E12" s="15"/>
      <c r="F12" s="15"/>
      <c r="G12" s="15">
        <v>14872</v>
      </c>
      <c r="H12" s="15">
        <v>7296</v>
      </c>
      <c r="I12" s="15"/>
      <c r="J12" s="15"/>
    </row>
    <row r="13" spans="1:10" s="106" customFormat="1" ht="21.75" thickBot="1">
      <c r="A13" s="46" t="s">
        <v>17</v>
      </c>
      <c r="B13" s="110" t="s">
        <v>18</v>
      </c>
      <c r="C13" s="12">
        <f>+C14+C15+C16+C17+C18</f>
        <v>21671</v>
      </c>
      <c r="D13" s="12">
        <f>+D14+D15+D16+D17+D18</f>
        <v>0</v>
      </c>
      <c r="E13" s="12">
        <f>C13+D13</f>
        <v>21671</v>
      </c>
      <c r="F13" s="12">
        <f>D13+E13</f>
        <v>21671</v>
      </c>
      <c r="G13" s="12">
        <f>+G14+G15+G16+G17+G18</f>
        <v>75000</v>
      </c>
      <c r="H13" s="12">
        <f>+H14+H15+H16+H17+H18</f>
        <v>0</v>
      </c>
      <c r="I13" s="12">
        <f aca="true" t="shared" si="0" ref="I13:J17">G13+H13</f>
        <v>75000</v>
      </c>
      <c r="J13" s="12">
        <f t="shared" si="0"/>
        <v>75000</v>
      </c>
    </row>
    <row r="14" spans="1:10" s="106" customFormat="1" ht="15">
      <c r="A14" s="104" t="s">
        <v>19</v>
      </c>
      <c r="B14" s="105" t="s">
        <v>20</v>
      </c>
      <c r="C14" s="15"/>
      <c r="D14" s="15"/>
      <c r="E14" s="15">
        <f>C14+D14</f>
        <v>0</v>
      </c>
      <c r="F14" s="15">
        <f>D14+E14</f>
        <v>0</v>
      </c>
      <c r="G14" s="15"/>
      <c r="H14" s="15"/>
      <c r="I14" s="15">
        <f t="shared" si="0"/>
        <v>0</v>
      </c>
      <c r="J14" s="15">
        <f t="shared" si="0"/>
        <v>0</v>
      </c>
    </row>
    <row r="15" spans="1:10" s="106" customFormat="1" ht="15">
      <c r="A15" s="107" t="s">
        <v>21</v>
      </c>
      <c r="B15" s="108" t="s">
        <v>22</v>
      </c>
      <c r="C15" s="19"/>
      <c r="D15" s="19"/>
      <c r="E15" s="15">
        <f aca="true" t="shared" si="1" ref="E15:F17">C15+D15</f>
        <v>0</v>
      </c>
      <c r="F15" s="15">
        <f t="shared" si="1"/>
        <v>0</v>
      </c>
      <c r="G15" s="19"/>
      <c r="H15" s="19"/>
      <c r="I15" s="15">
        <f t="shared" si="0"/>
        <v>0</v>
      </c>
      <c r="J15" s="15">
        <f t="shared" si="0"/>
        <v>0</v>
      </c>
    </row>
    <row r="16" spans="1:10" s="106" customFormat="1" ht="15">
      <c r="A16" s="107" t="s">
        <v>23</v>
      </c>
      <c r="B16" s="108" t="s">
        <v>24</v>
      </c>
      <c r="C16" s="19"/>
      <c r="D16" s="19"/>
      <c r="E16" s="15">
        <f t="shared" si="1"/>
        <v>0</v>
      </c>
      <c r="F16" s="15">
        <f t="shared" si="1"/>
        <v>0</v>
      </c>
      <c r="G16" s="19"/>
      <c r="H16" s="19"/>
      <c r="I16" s="15">
        <f t="shared" si="0"/>
        <v>0</v>
      </c>
      <c r="J16" s="15">
        <f t="shared" si="0"/>
        <v>0</v>
      </c>
    </row>
    <row r="17" spans="1:10" s="106" customFormat="1" ht="15">
      <c r="A17" s="107" t="s">
        <v>25</v>
      </c>
      <c r="B17" s="108" t="s">
        <v>26</v>
      </c>
      <c r="C17" s="19"/>
      <c r="D17" s="19"/>
      <c r="E17" s="15">
        <f t="shared" si="1"/>
        <v>0</v>
      </c>
      <c r="F17" s="15">
        <f t="shared" si="1"/>
        <v>0</v>
      </c>
      <c r="G17" s="19"/>
      <c r="H17" s="19"/>
      <c r="I17" s="15">
        <f t="shared" si="0"/>
        <v>0</v>
      </c>
      <c r="J17" s="15">
        <f t="shared" si="0"/>
        <v>0</v>
      </c>
    </row>
    <row r="18" spans="1:10" s="106" customFormat="1" ht="15">
      <c r="A18" s="107" t="s">
        <v>27</v>
      </c>
      <c r="B18" s="108" t="s">
        <v>28</v>
      </c>
      <c r="C18" s="19">
        <v>21671</v>
      </c>
      <c r="D18" s="19"/>
      <c r="E18" s="15">
        <v>21671</v>
      </c>
      <c r="F18" s="15"/>
      <c r="G18" s="19">
        <v>75000</v>
      </c>
      <c r="H18" s="19"/>
      <c r="I18" s="15">
        <v>75000</v>
      </c>
      <c r="J18" s="15"/>
    </row>
    <row r="19" spans="1:10" s="109" customFormat="1" ht="15.75" thickBot="1">
      <c r="A19" s="111" t="s">
        <v>29</v>
      </c>
      <c r="B19" s="112" t="s">
        <v>30</v>
      </c>
      <c r="C19" s="22">
        <v>21671</v>
      </c>
      <c r="D19" s="22"/>
      <c r="E19" s="15">
        <v>21671</v>
      </c>
      <c r="F19" s="15"/>
      <c r="G19" s="22">
        <v>21671</v>
      </c>
      <c r="H19" s="22"/>
      <c r="I19" s="15">
        <v>21671</v>
      </c>
      <c r="J19" s="15"/>
    </row>
    <row r="20" spans="1:10" s="109" customFormat="1" ht="21.75" thickBot="1">
      <c r="A20" s="46" t="s">
        <v>31</v>
      </c>
      <c r="B20" s="11" t="s">
        <v>32</v>
      </c>
      <c r="C20" s="12">
        <f>D20+E20+F20</f>
        <v>52096</v>
      </c>
      <c r="D20" s="12">
        <f>D21+D22+D23+D24+D25</f>
        <v>0</v>
      </c>
      <c r="E20" s="12">
        <f>E21+E22+E23+E24+E25</f>
        <v>52096</v>
      </c>
      <c r="F20" s="12">
        <f>F21+F22+F23+F24+F25</f>
        <v>0</v>
      </c>
      <c r="G20" s="12">
        <f>H20+I20+J20</f>
        <v>100457</v>
      </c>
      <c r="H20" s="12">
        <f>H21+H22+H23+H24+H25</f>
        <v>0</v>
      </c>
      <c r="I20" s="12">
        <f>I21+I22+I23+I24+I25</f>
        <v>100457</v>
      </c>
      <c r="J20" s="12">
        <f>J21+J22+J23+J24+J25</f>
        <v>0</v>
      </c>
    </row>
    <row r="21" spans="1:10" s="109" customFormat="1" ht="15">
      <c r="A21" s="104" t="s">
        <v>33</v>
      </c>
      <c r="B21" s="105" t="s">
        <v>34</v>
      </c>
      <c r="C21" s="15">
        <f>D21+E21+F21</f>
        <v>0</v>
      </c>
      <c r="D21" s="15"/>
      <c r="E21" s="15"/>
      <c r="F21" s="15"/>
      <c r="G21" s="15">
        <f>H21+I21+J21</f>
        <v>40357</v>
      </c>
      <c r="H21" s="15"/>
      <c r="I21" s="15">
        <v>40357</v>
      </c>
      <c r="J21" s="15"/>
    </row>
    <row r="22" spans="1:10" s="106" customFormat="1" ht="15">
      <c r="A22" s="107" t="s">
        <v>35</v>
      </c>
      <c r="B22" s="108" t="s">
        <v>36</v>
      </c>
      <c r="C22" s="15">
        <f>D22+E22+F22</f>
        <v>0</v>
      </c>
      <c r="D22" s="19"/>
      <c r="E22" s="15"/>
      <c r="F22" s="15"/>
      <c r="G22" s="15">
        <f>H22+I22+J22</f>
        <v>0</v>
      </c>
      <c r="H22" s="19"/>
      <c r="I22" s="15"/>
      <c r="J22" s="15"/>
    </row>
    <row r="23" spans="1:10" s="109" customFormat="1" ht="15">
      <c r="A23" s="107" t="s">
        <v>37</v>
      </c>
      <c r="B23" s="108" t="s">
        <v>38</v>
      </c>
      <c r="C23" s="15">
        <f>D23+E23+F23</f>
        <v>0</v>
      </c>
      <c r="D23" s="19"/>
      <c r="E23" s="15"/>
      <c r="F23" s="15"/>
      <c r="G23" s="15">
        <f>H23+I23+J23</f>
        <v>0</v>
      </c>
      <c r="H23" s="19"/>
      <c r="I23" s="15"/>
      <c r="J23" s="15"/>
    </row>
    <row r="24" spans="1:10" s="109" customFormat="1" ht="15">
      <c r="A24" s="107" t="s">
        <v>39</v>
      </c>
      <c r="B24" s="108" t="s">
        <v>40</v>
      </c>
      <c r="C24" s="15">
        <f>D24+E24+F24</f>
        <v>0</v>
      </c>
      <c r="D24" s="19"/>
      <c r="E24" s="15"/>
      <c r="F24" s="15"/>
      <c r="G24" s="15">
        <f>H24+I24+J24</f>
        <v>0</v>
      </c>
      <c r="H24" s="19"/>
      <c r="I24" s="15"/>
      <c r="J24" s="15"/>
    </row>
    <row r="25" spans="1:10" s="109" customFormat="1" ht="15">
      <c r="A25" s="107" t="s">
        <v>41</v>
      </c>
      <c r="B25" s="108" t="s">
        <v>42</v>
      </c>
      <c r="C25" s="19">
        <v>52096</v>
      </c>
      <c r="D25" s="19">
        <f aca="true" t="shared" si="2" ref="D25:J25">D26</f>
        <v>0</v>
      </c>
      <c r="E25" s="19">
        <v>52096</v>
      </c>
      <c r="F25" s="19">
        <f t="shared" si="2"/>
        <v>0</v>
      </c>
      <c r="G25" s="19">
        <v>60100</v>
      </c>
      <c r="H25" s="19">
        <f t="shared" si="2"/>
        <v>0</v>
      </c>
      <c r="I25" s="19">
        <v>60100</v>
      </c>
      <c r="J25" s="19">
        <f t="shared" si="2"/>
        <v>0</v>
      </c>
    </row>
    <row r="26" spans="1:10" s="109" customFormat="1" ht="15.75" thickBot="1">
      <c r="A26" s="111" t="s">
        <v>43</v>
      </c>
      <c r="B26" s="112" t="s">
        <v>44</v>
      </c>
      <c r="C26" s="22">
        <v>52096</v>
      </c>
      <c r="D26" s="22">
        <v>0</v>
      </c>
      <c r="E26" s="15">
        <v>52096</v>
      </c>
      <c r="F26" s="15"/>
      <c r="G26" s="22">
        <v>52096</v>
      </c>
      <c r="H26" s="22">
        <v>0</v>
      </c>
      <c r="I26" s="15">
        <v>52096</v>
      </c>
      <c r="J26" s="15"/>
    </row>
    <row r="27" spans="1:10" s="109" customFormat="1" ht="15.75" thickBot="1">
      <c r="A27" s="46" t="s">
        <v>45</v>
      </c>
      <c r="B27" s="11" t="s">
        <v>46</v>
      </c>
      <c r="C27" s="23">
        <f>D27+E27+F27</f>
        <v>7590</v>
      </c>
      <c r="D27" s="23">
        <f>D28+D31+D32+D33</f>
        <v>7590</v>
      </c>
      <c r="E27" s="23"/>
      <c r="F27" s="23"/>
      <c r="G27" s="23">
        <f>H27+I27+J27</f>
        <v>14001</v>
      </c>
      <c r="H27" s="23">
        <f>H28+H31+H32+H33</f>
        <v>14001</v>
      </c>
      <c r="I27" s="23"/>
      <c r="J27" s="23"/>
    </row>
    <row r="28" spans="1:10" s="109" customFormat="1" ht="15">
      <c r="A28" s="104" t="s">
        <v>47</v>
      </c>
      <c r="B28" s="105" t="s">
        <v>48</v>
      </c>
      <c r="C28" s="113">
        <f aca="true" t="shared" si="3" ref="C28:J28">C29+C30</f>
        <v>6000</v>
      </c>
      <c r="D28" s="113">
        <f t="shared" si="3"/>
        <v>6000</v>
      </c>
      <c r="E28" s="113">
        <f t="shared" si="3"/>
        <v>0</v>
      </c>
      <c r="F28" s="113">
        <f t="shared" si="3"/>
        <v>0</v>
      </c>
      <c r="G28" s="113">
        <f t="shared" si="3"/>
        <v>11100</v>
      </c>
      <c r="H28" s="113">
        <f t="shared" si="3"/>
        <v>11100</v>
      </c>
      <c r="I28" s="113">
        <f t="shared" si="3"/>
        <v>0</v>
      </c>
      <c r="J28" s="113">
        <f t="shared" si="3"/>
        <v>0</v>
      </c>
    </row>
    <row r="29" spans="1:10" s="109" customFormat="1" ht="15">
      <c r="A29" s="107" t="s">
        <v>49</v>
      </c>
      <c r="B29" s="108" t="s">
        <v>50</v>
      </c>
      <c r="C29" s="19">
        <f aca="true" t="shared" si="4" ref="C29:C35">D29+E29+F29</f>
        <v>2000</v>
      </c>
      <c r="D29" s="19">
        <v>2000</v>
      </c>
      <c r="E29" s="113"/>
      <c r="F29" s="113"/>
      <c r="G29" s="19">
        <f aca="true" t="shared" si="5" ref="G29:G35">H29+I29+J29</f>
        <v>2600</v>
      </c>
      <c r="H29" s="19">
        <v>2600</v>
      </c>
      <c r="I29" s="113"/>
      <c r="J29" s="113"/>
    </row>
    <row r="30" spans="1:10" s="109" customFormat="1" ht="15">
      <c r="A30" s="107" t="s">
        <v>51</v>
      </c>
      <c r="B30" s="108" t="s">
        <v>52</v>
      </c>
      <c r="C30" s="19">
        <f t="shared" si="4"/>
        <v>4000</v>
      </c>
      <c r="D30" s="19">
        <v>4000</v>
      </c>
      <c r="E30" s="113"/>
      <c r="F30" s="113"/>
      <c r="G30" s="19">
        <f t="shared" si="5"/>
        <v>8500</v>
      </c>
      <c r="H30" s="19">
        <v>8500</v>
      </c>
      <c r="I30" s="113"/>
      <c r="J30" s="113"/>
    </row>
    <row r="31" spans="1:10" s="109" customFormat="1" ht="15">
      <c r="A31" s="107" t="s">
        <v>53</v>
      </c>
      <c r="B31" s="108" t="s">
        <v>54</v>
      </c>
      <c r="C31" s="19">
        <f t="shared" si="4"/>
        <v>940</v>
      </c>
      <c r="D31" s="19">
        <v>940</v>
      </c>
      <c r="E31" s="113"/>
      <c r="F31" s="113"/>
      <c r="G31" s="19">
        <f t="shared" si="5"/>
        <v>1500</v>
      </c>
      <c r="H31" s="19">
        <v>1500</v>
      </c>
      <c r="I31" s="113"/>
      <c r="J31" s="113"/>
    </row>
    <row r="32" spans="1:10" s="109" customFormat="1" ht="15">
      <c r="A32" s="107" t="s">
        <v>55</v>
      </c>
      <c r="B32" s="108" t="s">
        <v>56</v>
      </c>
      <c r="C32" s="19">
        <f t="shared" si="4"/>
        <v>500</v>
      </c>
      <c r="D32" s="19">
        <v>500</v>
      </c>
      <c r="E32" s="113"/>
      <c r="F32" s="113"/>
      <c r="G32" s="19">
        <v>941</v>
      </c>
      <c r="H32" s="19">
        <v>941</v>
      </c>
      <c r="I32" s="113"/>
      <c r="J32" s="113"/>
    </row>
    <row r="33" spans="1:10" s="109" customFormat="1" ht="15.75" thickBot="1">
      <c r="A33" s="111" t="s">
        <v>57</v>
      </c>
      <c r="B33" s="112" t="s">
        <v>58</v>
      </c>
      <c r="C33" s="19">
        <f t="shared" si="4"/>
        <v>150</v>
      </c>
      <c r="D33" s="22">
        <v>150</v>
      </c>
      <c r="E33" s="113"/>
      <c r="F33" s="113"/>
      <c r="G33" s="19">
        <f t="shared" si="5"/>
        <v>460</v>
      </c>
      <c r="H33" s="22">
        <v>460</v>
      </c>
      <c r="I33" s="113"/>
      <c r="J33" s="113"/>
    </row>
    <row r="34" spans="1:10" s="109" customFormat="1" ht="15.75" thickBot="1">
      <c r="A34" s="46" t="s">
        <v>59</v>
      </c>
      <c r="B34" s="11" t="s">
        <v>60</v>
      </c>
      <c r="C34" s="12">
        <f t="shared" si="4"/>
        <v>6827</v>
      </c>
      <c r="D34" s="12">
        <f>D35+D36+D37+D38+D39+D40+D41+D42+D43+D44</f>
        <v>6141</v>
      </c>
      <c r="E34" s="12">
        <f>E35+E36+E37+E38+E39+E40+E41+E42+E43+E44</f>
        <v>686</v>
      </c>
      <c r="F34" s="12">
        <f>F35+F36+F37+F38+F39+F40+F41+F42+F43+F44</f>
        <v>0</v>
      </c>
      <c r="G34" s="12">
        <f t="shared" si="5"/>
        <v>31860</v>
      </c>
      <c r="H34" s="12">
        <f>H35+H36+H37+H38+H39+H40+H41+H42+H43+H44</f>
        <v>7015</v>
      </c>
      <c r="I34" s="12">
        <f>I35+I36+I37+I38+I39+I40+I41+I42+I43+I44</f>
        <v>24845</v>
      </c>
      <c r="J34" s="12">
        <f>J35+J36+J37+J38+J39+J40+J41+J42+J43+J44</f>
        <v>0</v>
      </c>
    </row>
    <row r="35" spans="1:10" s="109" customFormat="1" ht="15">
      <c r="A35" s="104" t="s">
        <v>61</v>
      </c>
      <c r="B35" s="105" t="s">
        <v>62</v>
      </c>
      <c r="C35" s="15">
        <f t="shared" si="4"/>
        <v>0</v>
      </c>
      <c r="D35" s="15"/>
      <c r="E35" s="15">
        <v>0</v>
      </c>
      <c r="F35" s="15">
        <v>0</v>
      </c>
      <c r="G35" s="15">
        <f t="shared" si="5"/>
        <v>1700</v>
      </c>
      <c r="H35" s="15"/>
      <c r="I35" s="15">
        <v>1700</v>
      </c>
      <c r="J35" s="15">
        <v>0</v>
      </c>
    </row>
    <row r="36" spans="1:10" s="109" customFormat="1" ht="15">
      <c r="A36" s="107" t="s">
        <v>63</v>
      </c>
      <c r="B36" s="108" t="s">
        <v>64</v>
      </c>
      <c r="C36" s="15">
        <f aca="true" t="shared" si="6" ref="C36:C43">D36+E36+F36</f>
        <v>541</v>
      </c>
      <c r="D36" s="19"/>
      <c r="E36" s="15">
        <v>541</v>
      </c>
      <c r="F36" s="15">
        <v>0</v>
      </c>
      <c r="G36" s="15">
        <v>23000</v>
      </c>
      <c r="H36" s="19"/>
      <c r="I36" s="15">
        <v>23000</v>
      </c>
      <c r="J36" s="15">
        <v>0</v>
      </c>
    </row>
    <row r="37" spans="1:10" s="109" customFormat="1" ht="15">
      <c r="A37" s="107" t="s">
        <v>65</v>
      </c>
      <c r="B37" s="108" t="s">
        <v>66</v>
      </c>
      <c r="C37" s="15">
        <f t="shared" si="6"/>
        <v>2000</v>
      </c>
      <c r="D37" s="19">
        <v>2000</v>
      </c>
      <c r="E37" s="15">
        <v>0</v>
      </c>
      <c r="F37" s="15">
        <v>0</v>
      </c>
      <c r="G37" s="15">
        <f>H37+I37+J37</f>
        <v>2500</v>
      </c>
      <c r="H37" s="19">
        <v>2500</v>
      </c>
      <c r="I37" s="15">
        <v>0</v>
      </c>
      <c r="J37" s="15">
        <v>0</v>
      </c>
    </row>
    <row r="38" spans="1:10" s="109" customFormat="1" ht="15">
      <c r="A38" s="107" t="s">
        <v>67</v>
      </c>
      <c r="B38" s="108" t="s">
        <v>68</v>
      </c>
      <c r="C38" s="15">
        <f t="shared" si="6"/>
        <v>43</v>
      </c>
      <c r="D38" s="19">
        <v>43</v>
      </c>
      <c r="E38" s="15">
        <v>0</v>
      </c>
      <c r="F38" s="15">
        <v>0</v>
      </c>
      <c r="G38" s="15">
        <v>0</v>
      </c>
      <c r="H38" s="19"/>
      <c r="I38" s="15">
        <v>0</v>
      </c>
      <c r="J38" s="15">
        <v>0</v>
      </c>
    </row>
    <row r="39" spans="1:10" s="109" customFormat="1" ht="15">
      <c r="A39" s="107" t="s">
        <v>69</v>
      </c>
      <c r="B39" s="108" t="s">
        <v>70</v>
      </c>
      <c r="C39" s="15">
        <f t="shared" si="6"/>
        <v>2520</v>
      </c>
      <c r="D39" s="19">
        <v>2520</v>
      </c>
      <c r="E39" s="15">
        <v>0</v>
      </c>
      <c r="F39" s="15">
        <v>0</v>
      </c>
      <c r="G39" s="15">
        <v>2400</v>
      </c>
      <c r="H39" s="19">
        <v>2400</v>
      </c>
      <c r="I39" s="15">
        <v>0</v>
      </c>
      <c r="J39" s="15">
        <v>0</v>
      </c>
    </row>
    <row r="40" spans="1:10" s="109" customFormat="1" ht="15">
      <c r="A40" s="107" t="s">
        <v>71</v>
      </c>
      <c r="B40" s="108" t="s">
        <v>72</v>
      </c>
      <c r="C40" s="15">
        <f t="shared" si="6"/>
        <v>1213</v>
      </c>
      <c r="D40" s="19">
        <f>1213-E40</f>
        <v>1068</v>
      </c>
      <c r="E40" s="15">
        <v>145</v>
      </c>
      <c r="F40" s="15">
        <v>0</v>
      </c>
      <c r="G40" s="15">
        <v>2000</v>
      </c>
      <c r="H40" s="19">
        <f>2000-I40</f>
        <v>1855</v>
      </c>
      <c r="I40" s="15">
        <v>145</v>
      </c>
      <c r="J40" s="15">
        <v>0</v>
      </c>
    </row>
    <row r="41" spans="1:10" s="109" customFormat="1" ht="15">
      <c r="A41" s="107" t="s">
        <v>73</v>
      </c>
      <c r="B41" s="108" t="s">
        <v>74</v>
      </c>
      <c r="C41" s="15">
        <f t="shared" si="6"/>
        <v>0</v>
      </c>
      <c r="D41" s="19">
        <v>0</v>
      </c>
      <c r="E41" s="15">
        <v>0</v>
      </c>
      <c r="F41" s="15">
        <v>0</v>
      </c>
      <c r="G41" s="15">
        <f>H41+I41+J41</f>
        <v>0</v>
      </c>
      <c r="H41" s="19">
        <v>0</v>
      </c>
      <c r="I41" s="15">
        <v>0</v>
      </c>
      <c r="J41" s="15">
        <v>0</v>
      </c>
    </row>
    <row r="42" spans="1:10" s="109" customFormat="1" ht="15">
      <c r="A42" s="107" t="s">
        <v>75</v>
      </c>
      <c r="B42" s="108" t="s">
        <v>76</v>
      </c>
      <c r="C42" s="15">
        <v>60</v>
      </c>
      <c r="D42" s="19">
        <v>60</v>
      </c>
      <c r="E42" s="15">
        <v>0</v>
      </c>
      <c r="F42" s="15">
        <v>0</v>
      </c>
      <c r="G42" s="15">
        <v>60</v>
      </c>
      <c r="H42" s="19">
        <v>60</v>
      </c>
      <c r="I42" s="15">
        <v>0</v>
      </c>
      <c r="J42" s="15">
        <v>0</v>
      </c>
    </row>
    <row r="43" spans="1:10" s="109" customFormat="1" ht="15">
      <c r="A43" s="107" t="s">
        <v>77</v>
      </c>
      <c r="B43" s="108" t="s">
        <v>78</v>
      </c>
      <c r="C43" s="15">
        <f t="shared" si="6"/>
        <v>0</v>
      </c>
      <c r="D43" s="24"/>
      <c r="E43" s="15">
        <v>0</v>
      </c>
      <c r="F43" s="15">
        <v>0</v>
      </c>
      <c r="G43" s="15">
        <f>H43+I43+J43</f>
        <v>0</v>
      </c>
      <c r="H43" s="24"/>
      <c r="I43" s="15">
        <v>0</v>
      </c>
      <c r="J43" s="15">
        <v>0</v>
      </c>
    </row>
    <row r="44" spans="1:10" s="109" customFormat="1" ht="15.75" thickBot="1">
      <c r="A44" s="111" t="s">
        <v>79</v>
      </c>
      <c r="B44" s="112" t="s">
        <v>80</v>
      </c>
      <c r="C44" s="15">
        <v>450</v>
      </c>
      <c r="D44" s="29">
        <v>450</v>
      </c>
      <c r="E44" s="114">
        <v>0</v>
      </c>
      <c r="F44" s="114">
        <v>0</v>
      </c>
      <c r="G44" s="15">
        <v>200</v>
      </c>
      <c r="H44" s="29">
        <v>200</v>
      </c>
      <c r="I44" s="114">
        <v>0</v>
      </c>
      <c r="J44" s="114">
        <v>0</v>
      </c>
    </row>
    <row r="45" spans="1:10" s="109" customFormat="1" ht="15.75" thickBot="1">
      <c r="A45" s="46" t="s">
        <v>81</v>
      </c>
      <c r="B45" s="11" t="s">
        <v>82</v>
      </c>
      <c r="C45" s="12">
        <f>SUM(C46:C50)</f>
        <v>0</v>
      </c>
      <c r="D45" s="12">
        <f>SUM(D46:D50)</f>
        <v>0</v>
      </c>
      <c r="E45" s="115">
        <f>D45+C45</f>
        <v>0</v>
      </c>
      <c r="F45" s="160">
        <f>E45+D45</f>
        <v>0</v>
      </c>
      <c r="G45" s="12">
        <f>SUM(G46:G50)</f>
        <v>1900</v>
      </c>
      <c r="H45" s="12">
        <f>SUM(H46:H50)</f>
        <v>0</v>
      </c>
      <c r="I45" s="115">
        <f>H45+G45</f>
        <v>1900</v>
      </c>
      <c r="J45" s="160"/>
    </row>
    <row r="46" spans="1:10" s="109" customFormat="1" ht="15">
      <c r="A46" s="104" t="s">
        <v>83</v>
      </c>
      <c r="B46" s="105" t="s">
        <v>84</v>
      </c>
      <c r="C46" s="28"/>
      <c r="D46" s="28"/>
      <c r="E46" s="28"/>
      <c r="F46" s="28"/>
      <c r="G46" s="28"/>
      <c r="H46" s="28"/>
      <c r="I46" s="28"/>
      <c r="J46" s="28"/>
    </row>
    <row r="47" spans="1:10" s="109" customFormat="1" ht="15">
      <c r="A47" s="107" t="s">
        <v>85</v>
      </c>
      <c r="B47" s="108" t="s">
        <v>86</v>
      </c>
      <c r="C47" s="24"/>
      <c r="D47" s="24"/>
      <c r="E47" s="24"/>
      <c r="F47" s="24"/>
      <c r="G47" s="24">
        <v>1900</v>
      </c>
      <c r="H47" s="24"/>
      <c r="I47" s="24">
        <v>1900</v>
      </c>
      <c r="J47" s="24"/>
    </row>
    <row r="48" spans="1:10" s="109" customFormat="1" ht="15">
      <c r="A48" s="107" t="s">
        <v>87</v>
      </c>
      <c r="B48" s="108" t="s">
        <v>88</v>
      </c>
      <c r="C48" s="24"/>
      <c r="D48" s="24"/>
      <c r="E48" s="24"/>
      <c r="F48" s="24"/>
      <c r="G48" s="24"/>
      <c r="H48" s="24"/>
      <c r="I48" s="24"/>
      <c r="J48" s="24"/>
    </row>
    <row r="49" spans="1:10" s="109" customFormat="1" ht="15">
      <c r="A49" s="107" t="s">
        <v>89</v>
      </c>
      <c r="B49" s="108" t="s">
        <v>90</v>
      </c>
      <c r="C49" s="24"/>
      <c r="D49" s="24"/>
      <c r="E49" s="24"/>
      <c r="F49" s="24"/>
      <c r="G49" s="24"/>
      <c r="H49" s="24"/>
      <c r="I49" s="24"/>
      <c r="J49" s="24"/>
    </row>
    <row r="50" spans="1:10" s="109" customFormat="1" ht="15.75" thickBot="1">
      <c r="A50" s="111" t="s">
        <v>91</v>
      </c>
      <c r="B50" s="112" t="s">
        <v>92</v>
      </c>
      <c r="C50" s="29"/>
      <c r="D50" s="29"/>
      <c r="E50" s="29"/>
      <c r="F50" s="29"/>
      <c r="G50" s="29"/>
      <c r="H50" s="29"/>
      <c r="I50" s="29"/>
      <c r="J50" s="29"/>
    </row>
    <row r="51" spans="1:10" s="109" customFormat="1" ht="15.75" thickBot="1">
      <c r="A51" s="46" t="s">
        <v>93</v>
      </c>
      <c r="B51" s="11" t="s">
        <v>94</v>
      </c>
      <c r="C51" s="12">
        <f>D51+E51+F51</f>
        <v>13940</v>
      </c>
      <c r="D51" s="12">
        <f>SUM(D52:D54)</f>
        <v>13940</v>
      </c>
      <c r="E51" s="12"/>
      <c r="F51" s="12"/>
      <c r="G51" s="12">
        <f>H51+I51+J51</f>
        <v>11110</v>
      </c>
      <c r="H51" s="12">
        <v>11110</v>
      </c>
      <c r="I51" s="12"/>
      <c r="J51" s="12"/>
    </row>
    <row r="52" spans="1:10" s="109" customFormat="1" ht="15">
      <c r="A52" s="104" t="s">
        <v>95</v>
      </c>
      <c r="B52" s="105" t="s">
        <v>96</v>
      </c>
      <c r="C52" s="15"/>
      <c r="D52" s="15"/>
      <c r="E52" s="15">
        <f>C52+D52</f>
        <v>0</v>
      </c>
      <c r="F52" s="15">
        <f>D52+E52</f>
        <v>0</v>
      </c>
      <c r="G52" s="15"/>
      <c r="H52" s="15"/>
      <c r="I52" s="15">
        <f>G52+H52</f>
        <v>0</v>
      </c>
      <c r="J52" s="15">
        <f>H52+I52</f>
        <v>0</v>
      </c>
    </row>
    <row r="53" spans="1:10" s="109" customFormat="1" ht="22.5">
      <c r="A53" s="107" t="s">
        <v>97</v>
      </c>
      <c r="B53" s="108" t="s">
        <v>98</v>
      </c>
      <c r="C53" s="19"/>
      <c r="D53" s="19"/>
      <c r="E53" s="15">
        <f aca="true" t="shared" si="7" ref="E53:F55">C53+D53</f>
        <v>0</v>
      </c>
      <c r="F53" s="15">
        <f t="shared" si="7"/>
        <v>0</v>
      </c>
      <c r="G53" s="19">
        <v>110</v>
      </c>
      <c r="H53" s="19">
        <v>110</v>
      </c>
      <c r="I53" s="15"/>
      <c r="J53" s="15"/>
    </row>
    <row r="54" spans="1:10" s="109" customFormat="1" ht="15">
      <c r="A54" s="107" t="s">
        <v>99</v>
      </c>
      <c r="B54" s="108" t="s">
        <v>100</v>
      </c>
      <c r="C54" s="19">
        <f>D54+E54+F54</f>
        <v>13940</v>
      </c>
      <c r="D54" s="19">
        <v>13940</v>
      </c>
      <c r="E54" s="15"/>
      <c r="F54" s="15"/>
      <c r="G54" s="19">
        <v>11000</v>
      </c>
      <c r="H54" s="19">
        <v>11000</v>
      </c>
      <c r="I54" s="15"/>
      <c r="J54" s="15"/>
    </row>
    <row r="55" spans="1:10" s="109" customFormat="1" ht="15.75" thickBot="1">
      <c r="A55" s="111" t="s">
        <v>101</v>
      </c>
      <c r="B55" s="112" t="s">
        <v>102</v>
      </c>
      <c r="C55" s="22"/>
      <c r="D55" s="22"/>
      <c r="E55" s="15">
        <f t="shared" si="7"/>
        <v>0</v>
      </c>
      <c r="F55" s="15">
        <f t="shared" si="7"/>
        <v>0</v>
      </c>
      <c r="G55" s="22">
        <v>0</v>
      </c>
      <c r="H55" s="22">
        <v>0</v>
      </c>
      <c r="I55" s="15"/>
      <c r="J55" s="15"/>
    </row>
    <row r="56" spans="1:10" s="109" customFormat="1" ht="15.75" thickBot="1">
      <c r="A56" s="46" t="s">
        <v>103</v>
      </c>
      <c r="B56" s="110" t="s">
        <v>104</v>
      </c>
      <c r="C56" s="12">
        <f aca="true" t="shared" si="8" ref="C56:J56">SUM(C57:C59)</f>
        <v>0</v>
      </c>
      <c r="D56" s="12">
        <f t="shared" si="8"/>
        <v>0</v>
      </c>
      <c r="E56" s="12">
        <f t="shared" si="8"/>
        <v>0</v>
      </c>
      <c r="F56" s="12">
        <f t="shared" si="8"/>
        <v>0</v>
      </c>
      <c r="G56" s="12">
        <f t="shared" si="8"/>
        <v>0</v>
      </c>
      <c r="H56" s="12">
        <f t="shared" si="8"/>
        <v>0</v>
      </c>
      <c r="I56" s="12">
        <f t="shared" si="8"/>
        <v>0</v>
      </c>
      <c r="J56" s="12">
        <f t="shared" si="8"/>
        <v>0</v>
      </c>
    </row>
    <row r="57" spans="1:10" s="109" customFormat="1" ht="15">
      <c r="A57" s="104" t="s">
        <v>105</v>
      </c>
      <c r="B57" s="105" t="s">
        <v>106</v>
      </c>
      <c r="C57" s="24"/>
      <c r="D57" s="24"/>
      <c r="E57" s="24"/>
      <c r="F57" s="24"/>
      <c r="G57" s="24"/>
      <c r="H57" s="24"/>
      <c r="I57" s="24"/>
      <c r="J57" s="24"/>
    </row>
    <row r="58" spans="1:10" s="109" customFormat="1" ht="22.5">
      <c r="A58" s="107" t="s">
        <v>107</v>
      </c>
      <c r="B58" s="108" t="s">
        <v>108</v>
      </c>
      <c r="C58" s="24"/>
      <c r="D58" s="24"/>
      <c r="E58" s="24"/>
      <c r="F58" s="24"/>
      <c r="G58" s="24"/>
      <c r="H58" s="24"/>
      <c r="I58" s="24"/>
      <c r="J58" s="24"/>
    </row>
    <row r="59" spans="1:10" s="109" customFormat="1" ht="15">
      <c r="A59" s="107" t="s">
        <v>109</v>
      </c>
      <c r="B59" s="108" t="s">
        <v>110</v>
      </c>
      <c r="C59" s="24"/>
      <c r="D59" s="24"/>
      <c r="E59" s="24"/>
      <c r="F59" s="24"/>
      <c r="G59" s="24"/>
      <c r="H59" s="24"/>
      <c r="I59" s="24"/>
      <c r="J59" s="24"/>
    </row>
    <row r="60" spans="1:10" s="109" customFormat="1" ht="15">
      <c r="A60" s="107" t="s">
        <v>111</v>
      </c>
      <c r="B60" s="108" t="s">
        <v>112</v>
      </c>
      <c r="C60" s="24"/>
      <c r="D60" s="24"/>
      <c r="E60" s="24"/>
      <c r="F60" s="24"/>
      <c r="G60" s="24"/>
      <c r="H60" s="24"/>
      <c r="I60" s="24"/>
      <c r="J60" s="24"/>
    </row>
    <row r="61" spans="1:10" s="109" customFormat="1" ht="15.75" thickBot="1">
      <c r="A61" s="103" t="s">
        <v>113</v>
      </c>
      <c r="B61" s="117" t="s">
        <v>114</v>
      </c>
      <c r="C61" s="118">
        <f>D61+E61</f>
        <v>165284</v>
      </c>
      <c r="D61" s="118">
        <f>+D7+D13+D20+D27+D34+D45+D51+D56</f>
        <v>90831</v>
      </c>
      <c r="E61" s="118">
        <f>+E7+E13+E20+E27+E34+E45+E51+E56</f>
        <v>74453</v>
      </c>
      <c r="F61" s="118">
        <v>0</v>
      </c>
      <c r="G61" s="118">
        <f>H61+I61</f>
        <v>287934</v>
      </c>
      <c r="H61" s="118">
        <f>+H7+H13+H20+H27+H34+H45+H51+H56</f>
        <v>85732</v>
      </c>
      <c r="I61" s="118">
        <f>+I7+I13+I20+I27+I34+I45+I51+I56</f>
        <v>202202</v>
      </c>
      <c r="J61" s="118">
        <v>0</v>
      </c>
    </row>
    <row r="62" spans="1:10" s="109" customFormat="1" ht="15.75" thickBot="1">
      <c r="A62" s="119" t="s">
        <v>255</v>
      </c>
      <c r="B62" s="110" t="s">
        <v>116</v>
      </c>
      <c r="C62" s="12">
        <f>D62</f>
        <v>0</v>
      </c>
      <c r="D62" s="12">
        <f>D64+D63</f>
        <v>0</v>
      </c>
      <c r="E62" s="12"/>
      <c r="F62" s="12"/>
      <c r="G62" s="12">
        <f>H62</f>
        <v>165</v>
      </c>
      <c r="H62" s="12">
        <f>H64+H63</f>
        <v>165</v>
      </c>
      <c r="I62" s="12"/>
      <c r="J62" s="12"/>
    </row>
    <row r="63" spans="1:10" s="109" customFormat="1" ht="15">
      <c r="A63" s="104" t="s">
        <v>117</v>
      </c>
      <c r="B63" s="105" t="s">
        <v>118</v>
      </c>
      <c r="C63" s="24"/>
      <c r="D63" s="24"/>
      <c r="E63" s="24">
        <f>D63+C63</f>
        <v>0</v>
      </c>
      <c r="F63" s="24">
        <f>E63+D63</f>
        <v>0</v>
      </c>
      <c r="G63" s="24"/>
      <c r="H63" s="24"/>
      <c r="I63" s="24">
        <f>H63+G63</f>
        <v>0</v>
      </c>
      <c r="J63" s="24">
        <f>I63+H63</f>
        <v>0</v>
      </c>
    </row>
    <row r="64" spans="1:10" s="109" customFormat="1" ht="15">
      <c r="A64" s="107" t="s">
        <v>119</v>
      </c>
      <c r="B64" s="108" t="s">
        <v>120</v>
      </c>
      <c r="C64" s="24">
        <f>D64</f>
        <v>0</v>
      </c>
      <c r="D64" s="24">
        <v>0</v>
      </c>
      <c r="E64" s="24"/>
      <c r="F64" s="24"/>
      <c r="G64" s="24">
        <f>H64</f>
        <v>165</v>
      </c>
      <c r="H64" s="24">
        <v>165</v>
      </c>
      <c r="I64" s="24"/>
      <c r="J64" s="24"/>
    </row>
    <row r="65" spans="1:10" s="109" customFormat="1" ht="15.75" thickBot="1">
      <c r="A65" s="111" t="s">
        <v>121</v>
      </c>
      <c r="B65" s="120" t="s">
        <v>122</v>
      </c>
      <c r="C65" s="24">
        <v>0</v>
      </c>
      <c r="D65" s="24"/>
      <c r="E65" s="24">
        <f>D65+C65</f>
        <v>0</v>
      </c>
      <c r="F65" s="24">
        <f>E65+D65</f>
        <v>0</v>
      </c>
      <c r="G65" s="24">
        <v>0</v>
      </c>
      <c r="H65" s="24"/>
      <c r="I65" s="24">
        <f>H65+G65</f>
        <v>0</v>
      </c>
      <c r="J65" s="24">
        <f>I65+H65</f>
        <v>0</v>
      </c>
    </row>
    <row r="66" spans="1:10" s="109" customFormat="1" ht="15.75" thickBot="1">
      <c r="A66" s="119" t="s">
        <v>123</v>
      </c>
      <c r="B66" s="110" t="s">
        <v>124</v>
      </c>
      <c r="C66" s="12">
        <f aca="true" t="shared" si="9" ref="C66:J66">SUM(C67:C70)</f>
        <v>0</v>
      </c>
      <c r="D66" s="12">
        <f t="shared" si="9"/>
        <v>0</v>
      </c>
      <c r="E66" s="12">
        <f t="shared" si="9"/>
        <v>0</v>
      </c>
      <c r="F66" s="12">
        <f t="shared" si="9"/>
        <v>0</v>
      </c>
      <c r="G66" s="12">
        <f t="shared" si="9"/>
        <v>0</v>
      </c>
      <c r="H66" s="12">
        <f t="shared" si="9"/>
        <v>0</v>
      </c>
      <c r="I66" s="12">
        <f t="shared" si="9"/>
        <v>0</v>
      </c>
      <c r="J66" s="12">
        <f t="shared" si="9"/>
        <v>0</v>
      </c>
    </row>
    <row r="67" spans="1:10" s="109" customFormat="1" ht="15">
      <c r="A67" s="104" t="s">
        <v>125</v>
      </c>
      <c r="B67" s="105" t="s">
        <v>126</v>
      </c>
      <c r="C67" s="24"/>
      <c r="D67" s="24"/>
      <c r="E67" s="24"/>
      <c r="F67" s="24"/>
      <c r="G67" s="24"/>
      <c r="H67" s="24"/>
      <c r="I67" s="24"/>
      <c r="J67" s="24"/>
    </row>
    <row r="68" spans="1:10" s="109" customFormat="1" ht="15">
      <c r="A68" s="107" t="s">
        <v>127</v>
      </c>
      <c r="B68" s="108" t="s">
        <v>128</v>
      </c>
      <c r="C68" s="24"/>
      <c r="D68" s="24"/>
      <c r="E68" s="24"/>
      <c r="F68" s="24"/>
      <c r="G68" s="24"/>
      <c r="H68" s="24"/>
      <c r="I68" s="24"/>
      <c r="J68" s="24"/>
    </row>
    <row r="69" spans="1:10" s="109" customFormat="1" ht="15">
      <c r="A69" s="107" t="s">
        <v>129</v>
      </c>
      <c r="B69" s="108" t="s">
        <v>130</v>
      </c>
      <c r="C69" s="24"/>
      <c r="D69" s="24"/>
      <c r="E69" s="24"/>
      <c r="F69" s="24"/>
      <c r="G69" s="24"/>
      <c r="H69" s="24"/>
      <c r="I69" s="24"/>
      <c r="J69" s="24"/>
    </row>
    <row r="70" spans="1:10" s="109" customFormat="1" ht="15.75" thickBot="1">
      <c r="A70" s="111" t="s">
        <v>131</v>
      </c>
      <c r="B70" s="112" t="s">
        <v>132</v>
      </c>
      <c r="C70" s="24"/>
      <c r="D70" s="24"/>
      <c r="E70" s="24"/>
      <c r="F70" s="24"/>
      <c r="G70" s="24"/>
      <c r="H70" s="24"/>
      <c r="I70" s="24"/>
      <c r="J70" s="24"/>
    </row>
    <row r="71" spans="1:10" s="109" customFormat="1" ht="15.75" thickBot="1">
      <c r="A71" s="119" t="s">
        <v>133</v>
      </c>
      <c r="B71" s="110" t="s">
        <v>134</v>
      </c>
      <c r="C71" s="12">
        <f>SUM(C72:C73)</f>
        <v>1573</v>
      </c>
      <c r="D71" s="12">
        <f>SUM(D72:D73)</f>
        <v>0</v>
      </c>
      <c r="E71" s="12">
        <f>E72</f>
        <v>1573</v>
      </c>
      <c r="F71" s="12">
        <v>0</v>
      </c>
      <c r="G71" s="12">
        <f>SUM(G72:G73)</f>
        <v>17916</v>
      </c>
      <c r="H71" s="12">
        <f>SUM(H72:H73)</f>
        <v>0</v>
      </c>
      <c r="I71" s="12">
        <f>I72</f>
        <v>17916</v>
      </c>
      <c r="J71" s="12">
        <v>0</v>
      </c>
    </row>
    <row r="72" spans="1:10" s="109" customFormat="1" ht="15">
      <c r="A72" s="104" t="s">
        <v>135</v>
      </c>
      <c r="B72" s="105" t="s">
        <v>136</v>
      </c>
      <c r="C72" s="24">
        <f>E72</f>
        <v>1573</v>
      </c>
      <c r="D72" s="24"/>
      <c r="E72" s="24">
        <v>1573</v>
      </c>
      <c r="F72" s="24"/>
      <c r="G72" s="24">
        <f>I72</f>
        <v>17916</v>
      </c>
      <c r="H72" s="24"/>
      <c r="I72" s="24">
        <v>17916</v>
      </c>
      <c r="J72" s="24"/>
    </row>
    <row r="73" spans="1:10" s="109" customFormat="1" ht="15.75" thickBot="1">
      <c r="A73" s="111" t="s">
        <v>137</v>
      </c>
      <c r="B73" s="112" t="s">
        <v>138</v>
      </c>
      <c r="C73" s="24"/>
      <c r="D73" s="24"/>
      <c r="E73" s="24">
        <f>D73+C73</f>
        <v>0</v>
      </c>
      <c r="F73" s="24">
        <f>E73+D73</f>
        <v>0</v>
      </c>
      <c r="G73" s="24"/>
      <c r="H73" s="24"/>
      <c r="I73" s="24">
        <f>H73+G73</f>
        <v>0</v>
      </c>
      <c r="J73" s="24">
        <f>I73+H73</f>
        <v>0</v>
      </c>
    </row>
    <row r="74" spans="1:10" s="106" customFormat="1" ht="15.75" thickBot="1">
      <c r="A74" s="119" t="s">
        <v>139</v>
      </c>
      <c r="B74" s="110" t="s">
        <v>140</v>
      </c>
      <c r="C74" s="12">
        <f>D74+E74+F74</f>
        <v>0</v>
      </c>
      <c r="D74" s="12">
        <f>D75+D76+D77</f>
        <v>0</v>
      </c>
      <c r="E74" s="12">
        <f>E75+E76+E77</f>
        <v>0</v>
      </c>
      <c r="F74" s="12">
        <f>F75+F76+F77</f>
        <v>0</v>
      </c>
      <c r="G74" s="12">
        <f>H74+I74+J74</f>
        <v>1610</v>
      </c>
      <c r="H74" s="12">
        <f>H75+H76+H77</f>
        <v>1610</v>
      </c>
      <c r="I74" s="12">
        <f>I75+I76+I77</f>
        <v>0</v>
      </c>
      <c r="J74" s="12">
        <f>J75+J76+J77</f>
        <v>0</v>
      </c>
    </row>
    <row r="75" spans="1:10" s="109" customFormat="1" ht="15">
      <c r="A75" s="104" t="s">
        <v>141</v>
      </c>
      <c r="B75" s="105" t="s">
        <v>142</v>
      </c>
      <c r="C75" s="24">
        <f>D75+E75+F75</f>
        <v>0</v>
      </c>
      <c r="D75" s="24">
        <v>0</v>
      </c>
      <c r="E75" s="24">
        <v>0</v>
      </c>
      <c r="F75" s="24">
        <v>0</v>
      </c>
      <c r="G75" s="24">
        <f>H75+I75+J75</f>
        <v>1610</v>
      </c>
      <c r="H75" s="24">
        <v>1610</v>
      </c>
      <c r="I75" s="24">
        <v>0</v>
      </c>
      <c r="J75" s="24">
        <v>0</v>
      </c>
    </row>
    <row r="76" spans="1:10" s="109" customFormat="1" ht="15">
      <c r="A76" s="107" t="s">
        <v>143</v>
      </c>
      <c r="B76" s="108" t="s">
        <v>144</v>
      </c>
      <c r="C76" s="24"/>
      <c r="D76" s="24"/>
      <c r="E76" s="24">
        <f>D76+C76</f>
        <v>0</v>
      </c>
      <c r="F76" s="24">
        <f>E76+D76</f>
        <v>0</v>
      </c>
      <c r="G76" s="24"/>
      <c r="H76" s="24"/>
      <c r="I76" s="24">
        <f>H76+G76</f>
        <v>0</v>
      </c>
      <c r="J76" s="24">
        <f>I76+H76</f>
        <v>0</v>
      </c>
    </row>
    <row r="77" spans="1:10" s="109" customFormat="1" ht="15.75" thickBot="1">
      <c r="A77" s="111" t="s">
        <v>145</v>
      </c>
      <c r="B77" s="112" t="s">
        <v>146</v>
      </c>
      <c r="C77" s="24"/>
      <c r="D77" s="24"/>
      <c r="E77" s="24">
        <f>D77+C77</f>
        <v>0</v>
      </c>
      <c r="F77" s="24">
        <f>E77+D77</f>
        <v>0</v>
      </c>
      <c r="G77" s="24"/>
      <c r="H77" s="24"/>
      <c r="I77" s="24">
        <f>H77+G77</f>
        <v>0</v>
      </c>
      <c r="J77" s="24">
        <f>I77+H77</f>
        <v>0</v>
      </c>
    </row>
    <row r="78" spans="1:10" s="109" customFormat="1" ht="15.75" thickBot="1">
      <c r="A78" s="119" t="s">
        <v>147</v>
      </c>
      <c r="B78" s="110" t="s">
        <v>148</v>
      </c>
      <c r="C78" s="12">
        <f aca="true" t="shared" si="10" ref="C78:J78">SUM(C79:C82)</f>
        <v>0</v>
      </c>
      <c r="D78" s="12">
        <f t="shared" si="10"/>
        <v>0</v>
      </c>
      <c r="E78" s="12">
        <f t="shared" si="10"/>
        <v>0</v>
      </c>
      <c r="F78" s="12">
        <f t="shared" si="10"/>
        <v>0</v>
      </c>
      <c r="G78" s="12">
        <f t="shared" si="10"/>
        <v>0</v>
      </c>
      <c r="H78" s="12">
        <f t="shared" si="10"/>
        <v>0</v>
      </c>
      <c r="I78" s="12">
        <f t="shared" si="10"/>
        <v>0</v>
      </c>
      <c r="J78" s="12">
        <f t="shared" si="10"/>
        <v>0</v>
      </c>
    </row>
    <row r="79" spans="1:10" s="109" customFormat="1" ht="15">
      <c r="A79" s="121" t="s">
        <v>149</v>
      </c>
      <c r="B79" s="105" t="s">
        <v>150</v>
      </c>
      <c r="C79" s="24"/>
      <c r="D79" s="24"/>
      <c r="E79" s="24"/>
      <c r="F79" s="24"/>
      <c r="G79" s="24"/>
      <c r="H79" s="24"/>
      <c r="I79" s="24"/>
      <c r="J79" s="24"/>
    </row>
    <row r="80" spans="1:10" s="109" customFormat="1" ht="15">
      <c r="A80" s="122" t="s">
        <v>151</v>
      </c>
      <c r="B80" s="108" t="s">
        <v>152</v>
      </c>
      <c r="C80" s="24"/>
      <c r="D80" s="24"/>
      <c r="E80" s="24"/>
      <c r="F80" s="24"/>
      <c r="G80" s="24"/>
      <c r="H80" s="24"/>
      <c r="I80" s="24"/>
      <c r="J80" s="24"/>
    </row>
    <row r="81" spans="1:10" s="109" customFormat="1" ht="15">
      <c r="A81" s="122" t="s">
        <v>153</v>
      </c>
      <c r="B81" s="108" t="s">
        <v>154</v>
      </c>
      <c r="C81" s="24"/>
      <c r="D81" s="24"/>
      <c r="E81" s="24"/>
      <c r="F81" s="24"/>
      <c r="G81" s="24"/>
      <c r="H81" s="24"/>
      <c r="I81" s="24"/>
      <c r="J81" s="24"/>
    </row>
    <row r="82" spans="1:10" s="106" customFormat="1" ht="15.75" thickBot="1">
      <c r="A82" s="123" t="s">
        <v>155</v>
      </c>
      <c r="B82" s="112" t="s">
        <v>156</v>
      </c>
      <c r="C82" s="24"/>
      <c r="D82" s="24"/>
      <c r="E82" s="24"/>
      <c r="F82" s="24"/>
      <c r="G82" s="24"/>
      <c r="H82" s="24"/>
      <c r="I82" s="24"/>
      <c r="J82" s="24"/>
    </row>
    <row r="83" spans="1:10" s="106" customFormat="1" ht="15.75" thickBot="1">
      <c r="A83" s="119" t="s">
        <v>157</v>
      </c>
      <c r="B83" s="110" t="s">
        <v>158</v>
      </c>
      <c r="C83" s="36"/>
      <c r="D83" s="36"/>
      <c r="E83" s="36"/>
      <c r="F83" s="36"/>
      <c r="G83" s="36"/>
      <c r="H83" s="36"/>
      <c r="I83" s="36"/>
      <c r="J83" s="36"/>
    </row>
    <row r="84" spans="1:10" s="106" customFormat="1" ht="15.75" thickBot="1">
      <c r="A84" s="119" t="s">
        <v>159</v>
      </c>
      <c r="B84" s="124" t="s">
        <v>160</v>
      </c>
      <c r="C84" s="23">
        <f aca="true" t="shared" si="11" ref="C84:J84">+C62+C66+C71+C74+C78+C83</f>
        <v>1573</v>
      </c>
      <c r="D84" s="23">
        <f t="shared" si="11"/>
        <v>0</v>
      </c>
      <c r="E84" s="23">
        <f t="shared" si="11"/>
        <v>1573</v>
      </c>
      <c r="F84" s="23">
        <f t="shared" si="11"/>
        <v>0</v>
      </c>
      <c r="G84" s="23">
        <f t="shared" si="11"/>
        <v>19691</v>
      </c>
      <c r="H84" s="23">
        <f t="shared" si="11"/>
        <v>1775</v>
      </c>
      <c r="I84" s="23">
        <f t="shared" si="11"/>
        <v>17916</v>
      </c>
      <c r="J84" s="23">
        <f t="shared" si="11"/>
        <v>0</v>
      </c>
    </row>
    <row r="85" spans="1:10" s="106" customFormat="1" ht="15.75" thickBot="1">
      <c r="A85" s="125" t="s">
        <v>161</v>
      </c>
      <c r="B85" s="126" t="s">
        <v>256</v>
      </c>
      <c r="C85" s="23">
        <f aca="true" t="shared" si="12" ref="C85:J85">+C61+C84</f>
        <v>166857</v>
      </c>
      <c r="D85" s="23">
        <f t="shared" si="12"/>
        <v>90831</v>
      </c>
      <c r="E85" s="23">
        <f t="shared" si="12"/>
        <v>76026</v>
      </c>
      <c r="F85" s="23">
        <f t="shared" si="12"/>
        <v>0</v>
      </c>
      <c r="G85" s="23">
        <f t="shared" si="12"/>
        <v>307625</v>
      </c>
      <c r="H85" s="23">
        <f t="shared" si="12"/>
        <v>87507</v>
      </c>
      <c r="I85" s="23">
        <f t="shared" si="12"/>
        <v>220118</v>
      </c>
      <c r="J85" s="23">
        <f t="shared" si="12"/>
        <v>0</v>
      </c>
    </row>
    <row r="86" spans="1:10" s="109" customFormat="1" ht="15">
      <c r="A86" s="127"/>
      <c r="B86" s="128"/>
      <c r="C86" s="129"/>
      <c r="D86" s="129"/>
      <c r="E86" s="129"/>
      <c r="F86" s="129"/>
      <c r="G86" s="129"/>
      <c r="H86" s="129"/>
      <c r="I86" s="129"/>
      <c r="J86" s="129"/>
    </row>
    <row r="87" spans="1:10" s="109" customFormat="1" ht="15.75" thickBot="1">
      <c r="A87" s="127"/>
      <c r="B87" s="128"/>
      <c r="C87" s="129"/>
      <c r="D87" s="129"/>
      <c r="E87" s="129"/>
      <c r="F87" s="129"/>
      <c r="G87" s="129"/>
      <c r="H87" s="129"/>
      <c r="I87" s="129"/>
      <c r="J87" s="129"/>
    </row>
    <row r="88" spans="1:10" ht="15.75" thickBot="1">
      <c r="A88" s="96" t="s">
        <v>261</v>
      </c>
      <c r="B88" s="152" t="s">
        <v>253</v>
      </c>
      <c r="C88" s="476" t="s">
        <v>426</v>
      </c>
      <c r="D88" s="468"/>
      <c r="E88" s="468"/>
      <c r="F88" s="469"/>
      <c r="G88" s="476" t="s">
        <v>438</v>
      </c>
      <c r="H88" s="468"/>
      <c r="I88" s="468"/>
      <c r="J88" s="469"/>
    </row>
    <row r="89" spans="1:10" s="102" customFormat="1" ht="16.5" thickBot="1">
      <c r="A89" s="99" t="s">
        <v>240</v>
      </c>
      <c r="B89" s="100" t="s">
        <v>241</v>
      </c>
      <c r="C89" s="101" t="s">
        <v>242</v>
      </c>
      <c r="D89" s="101" t="s">
        <v>250</v>
      </c>
      <c r="E89" s="101" t="s">
        <v>251</v>
      </c>
      <c r="F89" s="101" t="s">
        <v>252</v>
      </c>
      <c r="G89" s="101" t="s">
        <v>375</v>
      </c>
      <c r="H89" s="101" t="s">
        <v>417</v>
      </c>
      <c r="I89" s="101" t="s">
        <v>418</v>
      </c>
      <c r="J89" s="101" t="s">
        <v>419</v>
      </c>
    </row>
    <row r="90" spans="1:10" s="102" customFormat="1" ht="42.75" thickBot="1">
      <c r="A90" s="130"/>
      <c r="B90" s="131" t="s">
        <v>257</v>
      </c>
      <c r="C90" s="161" t="s">
        <v>245</v>
      </c>
      <c r="D90" s="161" t="s">
        <v>263</v>
      </c>
      <c r="E90" s="162" t="s">
        <v>264</v>
      </c>
      <c r="F90" s="162" t="s">
        <v>268</v>
      </c>
      <c r="G90" s="161" t="s">
        <v>245</v>
      </c>
      <c r="H90" s="161" t="s">
        <v>263</v>
      </c>
      <c r="I90" s="162" t="s">
        <v>264</v>
      </c>
      <c r="J90" s="162" t="s">
        <v>268</v>
      </c>
    </row>
    <row r="91" spans="1:10" s="134" customFormat="1" ht="13.5" thickBot="1">
      <c r="A91" s="7" t="s">
        <v>4</v>
      </c>
      <c r="B91" s="50" t="s">
        <v>449</v>
      </c>
      <c r="C91" s="51">
        <f aca="true" t="shared" si="13" ref="C91:C96">D91+E91+F91</f>
        <v>86076</v>
      </c>
      <c r="D91" s="163">
        <f>D92+D93+D94+D95+D96</f>
        <v>85956</v>
      </c>
      <c r="E91" s="163">
        <f>E92+E93+E94+E95+E96</f>
        <v>120</v>
      </c>
      <c r="F91" s="164">
        <f>F92+F93+F94+F95+F96</f>
        <v>0</v>
      </c>
      <c r="G91" s="51">
        <f aca="true" t="shared" si="14" ref="G91:G96">H91+I91+J91</f>
        <v>158992</v>
      </c>
      <c r="H91" s="163">
        <f>H92+H93+H94+H95+H96</f>
        <v>158451</v>
      </c>
      <c r="I91" s="163">
        <f>I92+I93+I94+I95+I96</f>
        <v>541</v>
      </c>
      <c r="J91" s="164">
        <f>J92+J93+J94+J95+J96</f>
        <v>0</v>
      </c>
    </row>
    <row r="92" spans="1:10" ht="15.75" thickBot="1">
      <c r="A92" s="135" t="s">
        <v>6</v>
      </c>
      <c r="B92" s="53" t="s">
        <v>165</v>
      </c>
      <c r="C92" s="54">
        <f t="shared" si="13"/>
        <v>26347</v>
      </c>
      <c r="D92" s="165">
        <v>26347</v>
      </c>
      <c r="E92" s="165">
        <v>0</v>
      </c>
      <c r="F92" s="165"/>
      <c r="G92" s="54">
        <f t="shared" si="14"/>
        <v>58115</v>
      </c>
      <c r="H92" s="165">
        <v>58115</v>
      </c>
      <c r="I92" s="165">
        <v>0</v>
      </c>
      <c r="J92" s="165"/>
    </row>
    <row r="93" spans="1:10" ht="15.75" thickBot="1">
      <c r="A93" s="107" t="s">
        <v>8</v>
      </c>
      <c r="B93" s="55" t="s">
        <v>166</v>
      </c>
      <c r="C93" s="54">
        <f t="shared" si="13"/>
        <v>5619</v>
      </c>
      <c r="D93" s="166">
        <v>5619</v>
      </c>
      <c r="E93" s="166">
        <v>0</v>
      </c>
      <c r="F93" s="166"/>
      <c r="G93" s="54">
        <f t="shared" si="14"/>
        <v>9256</v>
      </c>
      <c r="H93" s="166">
        <v>9256</v>
      </c>
      <c r="I93" s="166">
        <v>0</v>
      </c>
      <c r="J93" s="166"/>
    </row>
    <row r="94" spans="1:10" ht="15.75" thickBot="1">
      <c r="A94" s="107" t="s">
        <v>10</v>
      </c>
      <c r="B94" s="55" t="s">
        <v>167</v>
      </c>
      <c r="C94" s="54">
        <f t="shared" si="13"/>
        <v>31817</v>
      </c>
      <c r="D94" s="167">
        <v>31817</v>
      </c>
      <c r="E94" s="166">
        <v>0</v>
      </c>
      <c r="F94" s="166"/>
      <c r="G94" s="54">
        <f t="shared" si="14"/>
        <v>50741</v>
      </c>
      <c r="H94" s="167">
        <v>50741</v>
      </c>
      <c r="I94" s="166">
        <v>0</v>
      </c>
      <c r="J94" s="166"/>
    </row>
    <row r="95" spans="1:10" ht="15">
      <c r="A95" s="107" t="s">
        <v>12</v>
      </c>
      <c r="B95" s="56" t="s">
        <v>168</v>
      </c>
      <c r="C95" s="54">
        <f t="shared" si="13"/>
        <v>4354</v>
      </c>
      <c r="D95" s="167">
        <v>4354</v>
      </c>
      <c r="E95" s="166"/>
      <c r="F95" s="166"/>
      <c r="G95" s="54">
        <f t="shared" si="14"/>
        <v>4354</v>
      </c>
      <c r="H95" s="167">
        <v>4354</v>
      </c>
      <c r="I95" s="166"/>
      <c r="J95" s="166"/>
    </row>
    <row r="96" spans="1:10" ht="15">
      <c r="A96" s="107" t="s">
        <v>169</v>
      </c>
      <c r="B96" s="57" t="s">
        <v>170</v>
      </c>
      <c r="C96" s="22">
        <f t="shared" si="13"/>
        <v>17939</v>
      </c>
      <c r="D96" s="167">
        <f>D97+D98+D99+D100+D101+D102+D103+D104+D105+D106</f>
        <v>17819</v>
      </c>
      <c r="E96" s="167">
        <f>E97+E98+E99+E100+E101+E102+E103+E104+E105+E106</f>
        <v>120</v>
      </c>
      <c r="F96" s="167">
        <f>F97+F98+F99+F100+F101+F102+F103+F104+F105+F106</f>
        <v>0</v>
      </c>
      <c r="G96" s="22">
        <f t="shared" si="14"/>
        <v>36526</v>
      </c>
      <c r="H96" s="167">
        <f>H97+H101+H106</f>
        <v>35985</v>
      </c>
      <c r="I96" s="167">
        <f>I103+I106</f>
        <v>541</v>
      </c>
      <c r="J96" s="167">
        <f>J97+J98+J99+J100+J101+J102+J103+J104+J105+J106</f>
        <v>0</v>
      </c>
    </row>
    <row r="97" spans="1:10" ht="15">
      <c r="A97" s="107" t="s">
        <v>15</v>
      </c>
      <c r="B97" s="55" t="s">
        <v>171</v>
      </c>
      <c r="C97" s="22"/>
      <c r="D97" s="167">
        <v>10</v>
      </c>
      <c r="E97" s="167"/>
      <c r="F97" s="167"/>
      <c r="G97" s="22">
        <v>3469</v>
      </c>
      <c r="H97" s="167">
        <v>3469</v>
      </c>
      <c r="I97" s="167"/>
      <c r="J97" s="167"/>
    </row>
    <row r="98" spans="1:10" ht="15">
      <c r="A98" s="107" t="s">
        <v>172</v>
      </c>
      <c r="B98" s="58" t="s">
        <v>173</v>
      </c>
      <c r="C98" s="22"/>
      <c r="D98" s="167"/>
      <c r="E98" s="167"/>
      <c r="F98" s="167"/>
      <c r="G98" s="22"/>
      <c r="H98" s="167"/>
      <c r="I98" s="167"/>
      <c r="J98" s="167"/>
    </row>
    <row r="99" spans="1:10" ht="15">
      <c r="A99" s="107" t="s">
        <v>174</v>
      </c>
      <c r="B99" s="59" t="s">
        <v>175</v>
      </c>
      <c r="C99" s="22"/>
      <c r="D99" s="167"/>
      <c r="E99" s="167"/>
      <c r="F99" s="167"/>
      <c r="G99" s="22"/>
      <c r="H99" s="167"/>
      <c r="I99" s="167"/>
      <c r="J99" s="167"/>
    </row>
    <row r="100" spans="1:10" ht="22.5">
      <c r="A100" s="107" t="s">
        <v>176</v>
      </c>
      <c r="B100" s="59" t="s">
        <v>177</v>
      </c>
      <c r="C100" s="22"/>
      <c r="D100" s="167"/>
      <c r="E100" s="167"/>
      <c r="F100" s="167"/>
      <c r="G100" s="22"/>
      <c r="H100" s="167"/>
      <c r="I100" s="167"/>
      <c r="J100" s="167"/>
    </row>
    <row r="101" spans="1:10" ht="15">
      <c r="A101" s="107" t="s">
        <v>178</v>
      </c>
      <c r="B101" s="58" t="s">
        <v>179</v>
      </c>
      <c r="C101" s="22"/>
      <c r="D101" s="167">
        <v>17809</v>
      </c>
      <c r="E101" s="167"/>
      <c r="F101" s="167"/>
      <c r="G101" s="22">
        <v>25650</v>
      </c>
      <c r="H101" s="167">
        <v>25650</v>
      </c>
      <c r="I101" s="167"/>
      <c r="J101" s="167"/>
    </row>
    <row r="102" spans="1:10" ht="15">
      <c r="A102" s="107" t="s">
        <v>180</v>
      </c>
      <c r="B102" s="58" t="s">
        <v>181</v>
      </c>
      <c r="C102" s="22"/>
      <c r="D102" s="167"/>
      <c r="E102" s="167"/>
      <c r="F102" s="167"/>
      <c r="G102" s="22"/>
      <c r="H102" s="167"/>
      <c r="I102" s="167"/>
      <c r="J102" s="167"/>
    </row>
    <row r="103" spans="1:10" ht="15">
      <c r="A103" s="107" t="s">
        <v>182</v>
      </c>
      <c r="B103" s="59" t="s">
        <v>183</v>
      </c>
      <c r="C103" s="22"/>
      <c r="D103" s="167"/>
      <c r="E103" s="167"/>
      <c r="F103" s="167"/>
      <c r="G103" s="22">
        <v>461</v>
      </c>
      <c r="H103" s="167"/>
      <c r="I103" s="167">
        <v>461</v>
      </c>
      <c r="J103" s="167"/>
    </row>
    <row r="104" spans="1:10" ht="15">
      <c r="A104" s="136" t="s">
        <v>184</v>
      </c>
      <c r="B104" s="61" t="s">
        <v>185</v>
      </c>
      <c r="C104" s="22"/>
      <c r="D104" s="167"/>
      <c r="E104" s="167"/>
      <c r="F104" s="167"/>
      <c r="G104" s="22"/>
      <c r="H104" s="167"/>
      <c r="I104" s="167"/>
      <c r="J104" s="167"/>
    </row>
    <row r="105" spans="1:10" ht="15">
      <c r="A105" s="107" t="s">
        <v>186</v>
      </c>
      <c r="B105" s="61" t="s">
        <v>187</v>
      </c>
      <c r="C105" s="22"/>
      <c r="D105" s="167"/>
      <c r="E105" s="167"/>
      <c r="F105" s="167"/>
      <c r="G105" s="22"/>
      <c r="H105" s="167"/>
      <c r="I105" s="167"/>
      <c r="J105" s="167"/>
    </row>
    <row r="106" spans="1:10" ht="15.75" thickBot="1">
      <c r="A106" s="137" t="s">
        <v>188</v>
      </c>
      <c r="B106" s="63" t="s">
        <v>189</v>
      </c>
      <c r="C106" s="64"/>
      <c r="D106" s="168"/>
      <c r="E106" s="168">
        <v>120</v>
      </c>
      <c r="F106" s="168"/>
      <c r="G106" s="64">
        <f>H106+I106</f>
        <v>6946</v>
      </c>
      <c r="H106" s="168">
        <f>6946-80</f>
        <v>6866</v>
      </c>
      <c r="I106" s="168">
        <v>80</v>
      </c>
      <c r="J106" s="168"/>
    </row>
    <row r="107" spans="1:10" ht="15.75" thickBot="1">
      <c r="A107" s="46" t="s">
        <v>17</v>
      </c>
      <c r="B107" s="65" t="s">
        <v>450</v>
      </c>
      <c r="C107" s="12">
        <f>D107+E107+F107</f>
        <v>53669</v>
      </c>
      <c r="D107" s="12"/>
      <c r="E107" s="12">
        <f>E108+E110+E112</f>
        <v>53669</v>
      </c>
      <c r="F107" s="12"/>
      <c r="G107" s="12">
        <f>H107+I107+J107</f>
        <v>118440</v>
      </c>
      <c r="H107" s="12"/>
      <c r="I107" s="12">
        <f>I108+I110+I112</f>
        <v>118440</v>
      </c>
      <c r="J107" s="12"/>
    </row>
    <row r="108" spans="1:10" ht="15">
      <c r="A108" s="104" t="s">
        <v>19</v>
      </c>
      <c r="B108" s="55" t="s">
        <v>190</v>
      </c>
      <c r="C108" s="15">
        <f>D108+E108+F108</f>
        <v>31664</v>
      </c>
      <c r="D108" s="15">
        <f>D109</f>
        <v>0</v>
      </c>
      <c r="E108" s="15">
        <f>E109</f>
        <v>31664</v>
      </c>
      <c r="F108" s="15"/>
      <c r="G108" s="15">
        <f>H108+I108+J108</f>
        <v>67199</v>
      </c>
      <c r="H108" s="15">
        <f>H109</f>
        <v>0</v>
      </c>
      <c r="I108" s="15">
        <v>67199</v>
      </c>
      <c r="J108" s="15"/>
    </row>
    <row r="109" spans="1:10" ht="15">
      <c r="A109" s="104" t="s">
        <v>21</v>
      </c>
      <c r="B109" s="66" t="s">
        <v>191</v>
      </c>
      <c r="C109" s="15">
        <f>D109+E109+F109</f>
        <v>31664</v>
      </c>
      <c r="D109" s="15"/>
      <c r="E109" s="15">
        <v>31664</v>
      </c>
      <c r="F109" s="15"/>
      <c r="G109" s="15">
        <f>H109+I109+J109</f>
        <v>31664</v>
      </c>
      <c r="H109" s="15"/>
      <c r="I109" s="15">
        <v>31664</v>
      </c>
      <c r="J109" s="15"/>
    </row>
    <row r="110" spans="1:10" ht="15">
      <c r="A110" s="104" t="s">
        <v>23</v>
      </c>
      <c r="B110" s="66" t="s">
        <v>192</v>
      </c>
      <c r="C110" s="15">
        <f>D110+E110+F110</f>
        <v>0</v>
      </c>
      <c r="D110" s="15">
        <f>D111</f>
        <v>0</v>
      </c>
      <c r="E110" s="15"/>
      <c r="F110" s="15"/>
      <c r="G110" s="15">
        <f>H110+I110+J110</f>
        <v>21236</v>
      </c>
      <c r="H110" s="15">
        <f>H111</f>
        <v>0</v>
      </c>
      <c r="I110" s="15">
        <v>21236</v>
      </c>
      <c r="J110" s="15"/>
    </row>
    <row r="111" spans="1:10" ht="15">
      <c r="A111" s="104" t="s">
        <v>25</v>
      </c>
      <c r="B111" s="66" t="s">
        <v>193</v>
      </c>
      <c r="C111" s="15">
        <f>D111+E111+F111</f>
        <v>0</v>
      </c>
      <c r="D111" s="67"/>
      <c r="E111" s="15"/>
      <c r="F111" s="15"/>
      <c r="G111" s="15">
        <f>H111+I111+J111</f>
        <v>0</v>
      </c>
      <c r="H111" s="67"/>
      <c r="I111" s="15"/>
      <c r="J111" s="15"/>
    </row>
    <row r="112" spans="1:10" ht="15">
      <c r="A112" s="104" t="s">
        <v>27</v>
      </c>
      <c r="B112" s="138" t="s">
        <v>194</v>
      </c>
      <c r="C112" s="67">
        <v>22005</v>
      </c>
      <c r="D112" s="67">
        <f>D113+D114+D115+D116+D117+D118+D119+D120</f>
        <v>0</v>
      </c>
      <c r="E112" s="67">
        <v>22005</v>
      </c>
      <c r="F112" s="67">
        <f>F113+F114+F115+F116+F117+F118+F119+F120</f>
        <v>0</v>
      </c>
      <c r="G112" s="67">
        <v>30005</v>
      </c>
      <c r="H112" s="67">
        <f>H113+H114+H115+H116+H117+H118+H119+H120</f>
        <v>0</v>
      </c>
      <c r="I112" s="67">
        <v>30005</v>
      </c>
      <c r="J112" s="67">
        <f>J113+J114+J115+J116+J117+J118+J119+J120</f>
        <v>0</v>
      </c>
    </row>
    <row r="113" spans="1:10" ht="15">
      <c r="A113" s="104" t="s">
        <v>29</v>
      </c>
      <c r="B113" s="139" t="s">
        <v>195</v>
      </c>
      <c r="C113" s="67"/>
      <c r="D113" s="67"/>
      <c r="E113" s="67"/>
      <c r="F113" s="67"/>
      <c r="G113" s="67"/>
      <c r="H113" s="67"/>
      <c r="I113" s="67"/>
      <c r="J113" s="67"/>
    </row>
    <row r="114" spans="1:10" ht="15">
      <c r="A114" s="104" t="s">
        <v>196</v>
      </c>
      <c r="B114" s="70" t="s">
        <v>197</v>
      </c>
      <c r="C114" s="67"/>
      <c r="D114" s="67"/>
      <c r="E114" s="67"/>
      <c r="F114" s="67"/>
      <c r="G114" s="67"/>
      <c r="H114" s="67"/>
      <c r="I114" s="67"/>
      <c r="J114" s="67"/>
    </row>
    <row r="115" spans="1:10" ht="22.5">
      <c r="A115" s="104" t="s">
        <v>198</v>
      </c>
      <c r="B115" s="59" t="s">
        <v>177</v>
      </c>
      <c r="C115" s="67"/>
      <c r="D115" s="67"/>
      <c r="E115" s="67"/>
      <c r="F115" s="67"/>
      <c r="G115" s="67"/>
      <c r="H115" s="67"/>
      <c r="I115" s="67"/>
      <c r="J115" s="67"/>
    </row>
    <row r="116" spans="1:10" ht="15">
      <c r="A116" s="104" t="s">
        <v>199</v>
      </c>
      <c r="B116" s="59" t="s">
        <v>200</v>
      </c>
      <c r="C116" s="67">
        <v>22005</v>
      </c>
      <c r="D116" s="67"/>
      <c r="E116" s="67">
        <v>22005</v>
      </c>
      <c r="F116" s="67"/>
      <c r="G116" s="67">
        <v>30005</v>
      </c>
      <c r="H116" s="67"/>
      <c r="I116" s="67">
        <v>30005</v>
      </c>
      <c r="J116" s="67"/>
    </row>
    <row r="117" spans="1:10" ht="15">
      <c r="A117" s="104" t="s">
        <v>201</v>
      </c>
      <c r="B117" s="59" t="s">
        <v>202</v>
      </c>
      <c r="C117" s="67"/>
      <c r="D117" s="67"/>
      <c r="E117" s="67"/>
      <c r="F117" s="67"/>
      <c r="G117" s="67"/>
      <c r="H117" s="67"/>
      <c r="I117" s="67"/>
      <c r="J117" s="67"/>
    </row>
    <row r="118" spans="1:10" ht="15">
      <c r="A118" s="104" t="s">
        <v>203</v>
      </c>
      <c r="B118" s="59" t="s">
        <v>183</v>
      </c>
      <c r="C118" s="67"/>
      <c r="D118" s="67"/>
      <c r="E118" s="67"/>
      <c r="F118" s="67"/>
      <c r="G118" s="67"/>
      <c r="H118" s="67"/>
      <c r="I118" s="67"/>
      <c r="J118" s="67"/>
    </row>
    <row r="119" spans="1:10" ht="15">
      <c r="A119" s="104" t="s">
        <v>204</v>
      </c>
      <c r="B119" s="59" t="s">
        <v>205</v>
      </c>
      <c r="C119" s="67"/>
      <c r="D119" s="67"/>
      <c r="E119" s="67"/>
      <c r="F119" s="67"/>
      <c r="G119" s="67"/>
      <c r="H119" s="67"/>
      <c r="I119" s="67"/>
      <c r="J119" s="67"/>
    </row>
    <row r="120" spans="1:10" ht="15.75" thickBot="1">
      <c r="A120" s="136" t="s">
        <v>206</v>
      </c>
      <c r="B120" s="59" t="s">
        <v>207</v>
      </c>
      <c r="C120" s="71"/>
      <c r="D120" s="71"/>
      <c r="E120" s="71"/>
      <c r="F120" s="71"/>
      <c r="G120" s="71"/>
      <c r="H120" s="71"/>
      <c r="I120" s="71"/>
      <c r="J120" s="71"/>
    </row>
    <row r="121" spans="1:10" ht="15.75" thickBot="1">
      <c r="A121" s="46" t="s">
        <v>31</v>
      </c>
      <c r="B121" s="72" t="s">
        <v>208</v>
      </c>
      <c r="C121" s="12">
        <f>D121</f>
        <v>500</v>
      </c>
      <c r="D121" s="12">
        <f>+D122+D123</f>
        <v>500</v>
      </c>
      <c r="E121" s="12"/>
      <c r="F121" s="12"/>
      <c r="G121" s="12">
        <f>H121</f>
        <v>1000</v>
      </c>
      <c r="H121" s="12">
        <f>+H122+H123</f>
        <v>1000</v>
      </c>
      <c r="I121" s="12"/>
      <c r="J121" s="12"/>
    </row>
    <row r="122" spans="1:10" ht="15">
      <c r="A122" s="104" t="s">
        <v>33</v>
      </c>
      <c r="B122" s="73" t="s">
        <v>209</v>
      </c>
      <c r="C122" s="15">
        <f>D122</f>
        <v>500</v>
      </c>
      <c r="D122" s="15">
        <v>500</v>
      </c>
      <c r="E122" s="15"/>
      <c r="F122" s="15"/>
      <c r="G122" s="15">
        <f>H122</f>
        <v>1000</v>
      </c>
      <c r="H122" s="15">
        <v>1000</v>
      </c>
      <c r="I122" s="15"/>
      <c r="J122" s="15"/>
    </row>
    <row r="123" spans="1:10" ht="15.75" thickBot="1">
      <c r="A123" s="111" t="s">
        <v>35</v>
      </c>
      <c r="B123" s="66" t="s">
        <v>210</v>
      </c>
      <c r="C123" s="22"/>
      <c r="D123" s="22"/>
      <c r="E123" s="15">
        <f>D123+C123</f>
        <v>0</v>
      </c>
      <c r="F123" s="15">
        <f>E123+D123</f>
        <v>0</v>
      </c>
      <c r="G123" s="22"/>
      <c r="H123" s="22"/>
      <c r="I123" s="15">
        <f>H123+G123</f>
        <v>0</v>
      </c>
      <c r="J123" s="15">
        <f>I123+H123</f>
        <v>0</v>
      </c>
    </row>
    <row r="124" spans="1:10" ht="15.75" thickBot="1">
      <c r="A124" s="46" t="s">
        <v>211</v>
      </c>
      <c r="B124" s="72" t="s">
        <v>212</v>
      </c>
      <c r="C124" s="12">
        <f aca="true" t="shared" si="15" ref="C124:J124">+C91+C107+C121</f>
        <v>140245</v>
      </c>
      <c r="D124" s="12">
        <f t="shared" si="15"/>
        <v>86456</v>
      </c>
      <c r="E124" s="12">
        <f t="shared" si="15"/>
        <v>53789</v>
      </c>
      <c r="F124" s="12">
        <f t="shared" si="15"/>
        <v>0</v>
      </c>
      <c r="G124" s="12">
        <f t="shared" si="15"/>
        <v>278432</v>
      </c>
      <c r="H124" s="12">
        <f t="shared" si="15"/>
        <v>159451</v>
      </c>
      <c r="I124" s="12">
        <f t="shared" si="15"/>
        <v>118981</v>
      </c>
      <c r="J124" s="12">
        <f t="shared" si="15"/>
        <v>0</v>
      </c>
    </row>
    <row r="125" spans="1:10" ht="15.75" thickBot="1">
      <c r="A125" s="46" t="s">
        <v>59</v>
      </c>
      <c r="B125" s="72" t="s">
        <v>213</v>
      </c>
      <c r="C125" s="12">
        <f aca="true" t="shared" si="16" ref="C125:J125">+C126+C127+C128</f>
        <v>0</v>
      </c>
      <c r="D125" s="12">
        <f t="shared" si="16"/>
        <v>0</v>
      </c>
      <c r="E125" s="12">
        <f t="shared" si="16"/>
        <v>0</v>
      </c>
      <c r="F125" s="12">
        <f t="shared" si="16"/>
        <v>0</v>
      </c>
      <c r="G125" s="12">
        <f t="shared" si="16"/>
        <v>165</v>
      </c>
      <c r="H125" s="12">
        <f t="shared" si="16"/>
        <v>165</v>
      </c>
      <c r="I125" s="12">
        <f t="shared" si="16"/>
        <v>0</v>
      </c>
      <c r="J125" s="12">
        <f t="shared" si="16"/>
        <v>0</v>
      </c>
    </row>
    <row r="126" spans="1:10" s="134" customFormat="1" ht="12.75">
      <c r="A126" s="104" t="s">
        <v>61</v>
      </c>
      <c r="B126" s="73" t="s">
        <v>214</v>
      </c>
      <c r="C126" s="67"/>
      <c r="D126" s="67"/>
      <c r="E126" s="67"/>
      <c r="F126" s="67"/>
      <c r="G126" s="67"/>
      <c r="H126" s="67"/>
      <c r="I126" s="67"/>
      <c r="J126" s="67"/>
    </row>
    <row r="127" spans="1:10" ht="15">
      <c r="A127" s="104" t="s">
        <v>63</v>
      </c>
      <c r="B127" s="73" t="s">
        <v>215</v>
      </c>
      <c r="C127" s="67"/>
      <c r="D127" s="67"/>
      <c r="E127" s="67"/>
      <c r="F127" s="67"/>
      <c r="G127" s="67">
        <v>165</v>
      </c>
      <c r="H127" s="67">
        <v>165</v>
      </c>
      <c r="I127" s="67"/>
      <c r="J127" s="67"/>
    </row>
    <row r="128" spans="1:10" ht="15.75" thickBot="1">
      <c r="A128" s="136" t="s">
        <v>65</v>
      </c>
      <c r="B128" s="77" t="s">
        <v>216</v>
      </c>
      <c r="C128" s="67"/>
      <c r="D128" s="67"/>
      <c r="E128" s="67"/>
      <c r="F128" s="67"/>
      <c r="G128" s="67"/>
      <c r="H128" s="67"/>
      <c r="I128" s="67"/>
      <c r="J128" s="67"/>
    </row>
    <row r="129" spans="1:10" ht="15.75" thickBot="1">
      <c r="A129" s="46" t="s">
        <v>81</v>
      </c>
      <c r="B129" s="72" t="s">
        <v>217</v>
      </c>
      <c r="C129" s="12">
        <f aca="true" t="shared" si="17" ref="C129:J129">+C130+C131+C132+C133</f>
        <v>0</v>
      </c>
      <c r="D129" s="12">
        <f t="shared" si="17"/>
        <v>0</v>
      </c>
      <c r="E129" s="12">
        <f t="shared" si="17"/>
        <v>0</v>
      </c>
      <c r="F129" s="12">
        <f t="shared" si="17"/>
        <v>0</v>
      </c>
      <c r="G129" s="12">
        <f t="shared" si="17"/>
        <v>0</v>
      </c>
      <c r="H129" s="12">
        <f t="shared" si="17"/>
        <v>0</v>
      </c>
      <c r="I129" s="12">
        <f t="shared" si="17"/>
        <v>0</v>
      </c>
      <c r="J129" s="12">
        <f t="shared" si="17"/>
        <v>0</v>
      </c>
    </row>
    <row r="130" spans="1:10" ht="15">
      <c r="A130" s="104" t="s">
        <v>83</v>
      </c>
      <c r="B130" s="73" t="s">
        <v>218</v>
      </c>
      <c r="C130" s="67"/>
      <c r="D130" s="67"/>
      <c r="E130" s="67"/>
      <c r="F130" s="67"/>
      <c r="G130" s="67"/>
      <c r="H130" s="67"/>
      <c r="I130" s="67"/>
      <c r="J130" s="67"/>
    </row>
    <row r="131" spans="1:10" ht="15">
      <c r="A131" s="104" t="s">
        <v>85</v>
      </c>
      <c r="B131" s="73" t="s">
        <v>219</v>
      </c>
      <c r="C131" s="67"/>
      <c r="D131" s="67"/>
      <c r="E131" s="67"/>
      <c r="F131" s="67"/>
      <c r="G131" s="67"/>
      <c r="H131" s="67"/>
      <c r="I131" s="67"/>
      <c r="J131" s="67"/>
    </row>
    <row r="132" spans="1:10" ht="15">
      <c r="A132" s="104" t="s">
        <v>87</v>
      </c>
      <c r="B132" s="73" t="s">
        <v>220</v>
      </c>
      <c r="C132" s="67"/>
      <c r="D132" s="67"/>
      <c r="E132" s="67"/>
      <c r="F132" s="67"/>
      <c r="G132" s="67"/>
      <c r="H132" s="67"/>
      <c r="I132" s="67"/>
      <c r="J132" s="67"/>
    </row>
    <row r="133" spans="1:10" s="134" customFormat="1" ht="13.5" thickBot="1">
      <c r="A133" s="136" t="s">
        <v>89</v>
      </c>
      <c r="B133" s="77" t="s">
        <v>221</v>
      </c>
      <c r="C133" s="67"/>
      <c r="D133" s="67"/>
      <c r="E133" s="67"/>
      <c r="F133" s="67"/>
      <c r="G133" s="67"/>
      <c r="H133" s="67"/>
      <c r="I133" s="67"/>
      <c r="J133" s="67"/>
    </row>
    <row r="134" spans="1:11" ht="15.75" thickBot="1">
      <c r="A134" s="46" t="s">
        <v>222</v>
      </c>
      <c r="B134" s="72" t="s">
        <v>223</v>
      </c>
      <c r="C134" s="23">
        <f>D134</f>
        <v>26612</v>
      </c>
      <c r="D134" s="23">
        <f>+D135+D136+D137+D138</f>
        <v>26612</v>
      </c>
      <c r="E134" s="23"/>
      <c r="F134" s="23"/>
      <c r="G134" s="23">
        <f>H134</f>
        <v>29028</v>
      </c>
      <c r="H134" s="23">
        <f>+H135+H136+H137+H138</f>
        <v>29028</v>
      </c>
      <c r="I134" s="23"/>
      <c r="J134" s="23"/>
      <c r="K134" s="140"/>
    </row>
    <row r="135" spans="1:10" ht="15">
      <c r="A135" s="104" t="s">
        <v>95</v>
      </c>
      <c r="B135" s="73" t="s">
        <v>224</v>
      </c>
      <c r="C135" s="67">
        <f>D135</f>
        <v>26612</v>
      </c>
      <c r="D135" s="67">
        <v>26612</v>
      </c>
      <c r="E135" s="67"/>
      <c r="F135" s="67"/>
      <c r="G135" s="67">
        <f>H135</f>
        <v>27441</v>
      </c>
      <c r="H135" s="67">
        <v>27441</v>
      </c>
      <c r="I135" s="67"/>
      <c r="J135" s="67"/>
    </row>
    <row r="136" spans="1:10" ht="15">
      <c r="A136" s="104" t="s">
        <v>97</v>
      </c>
      <c r="B136" s="73" t="s">
        <v>225</v>
      </c>
      <c r="C136" s="67"/>
      <c r="D136" s="67"/>
      <c r="E136" s="67"/>
      <c r="F136" s="67"/>
      <c r="G136" s="67">
        <v>1587</v>
      </c>
      <c r="H136" s="67">
        <v>1587</v>
      </c>
      <c r="I136" s="67"/>
      <c r="J136" s="67"/>
    </row>
    <row r="137" spans="1:10" s="134" customFormat="1" ht="12.75">
      <c r="A137" s="104" t="s">
        <v>99</v>
      </c>
      <c r="B137" s="73" t="s">
        <v>226</v>
      </c>
      <c r="C137" s="67"/>
      <c r="D137" s="67"/>
      <c r="E137" s="67"/>
      <c r="F137" s="67"/>
      <c r="G137" s="67"/>
      <c r="H137" s="67"/>
      <c r="I137" s="67"/>
      <c r="J137" s="67"/>
    </row>
    <row r="138" spans="1:10" s="134" customFormat="1" ht="13.5" thickBot="1">
      <c r="A138" s="136" t="s">
        <v>101</v>
      </c>
      <c r="B138" s="77" t="s">
        <v>227</v>
      </c>
      <c r="C138" s="67"/>
      <c r="D138" s="67"/>
      <c r="E138" s="67"/>
      <c r="F138" s="67"/>
      <c r="G138" s="67"/>
      <c r="H138" s="67"/>
      <c r="I138" s="67"/>
      <c r="J138" s="67"/>
    </row>
    <row r="139" spans="1:10" s="134" customFormat="1" ht="13.5" thickBot="1">
      <c r="A139" s="46" t="s">
        <v>103</v>
      </c>
      <c r="B139" s="72" t="s">
        <v>228</v>
      </c>
      <c r="C139" s="141">
        <f aca="true" t="shared" si="18" ref="C139:J139">+C140+C141+C142+C143</f>
        <v>0</v>
      </c>
      <c r="D139" s="141">
        <f t="shared" si="18"/>
        <v>0</v>
      </c>
      <c r="E139" s="141">
        <f t="shared" si="18"/>
        <v>0</v>
      </c>
      <c r="F139" s="141">
        <f t="shared" si="18"/>
        <v>0</v>
      </c>
      <c r="G139" s="141">
        <f t="shared" si="18"/>
        <v>0</v>
      </c>
      <c r="H139" s="141">
        <f t="shared" si="18"/>
        <v>0</v>
      </c>
      <c r="I139" s="141">
        <f t="shared" si="18"/>
        <v>0</v>
      </c>
      <c r="J139" s="141">
        <f t="shared" si="18"/>
        <v>0</v>
      </c>
    </row>
    <row r="140" spans="1:10" s="134" customFormat="1" ht="12.75">
      <c r="A140" s="104" t="s">
        <v>105</v>
      </c>
      <c r="B140" s="73" t="s">
        <v>229</v>
      </c>
      <c r="C140" s="67"/>
      <c r="D140" s="67"/>
      <c r="E140" s="67"/>
      <c r="F140" s="67"/>
      <c r="G140" s="67"/>
      <c r="H140" s="67"/>
      <c r="I140" s="67"/>
      <c r="J140" s="67"/>
    </row>
    <row r="141" spans="1:10" s="134" customFormat="1" ht="12.75">
      <c r="A141" s="104" t="s">
        <v>107</v>
      </c>
      <c r="B141" s="73" t="s">
        <v>230</v>
      </c>
      <c r="C141" s="67"/>
      <c r="D141" s="67"/>
      <c r="E141" s="67"/>
      <c r="F141" s="67"/>
      <c r="G141" s="67"/>
      <c r="H141" s="67"/>
      <c r="I141" s="67"/>
      <c r="J141" s="67"/>
    </row>
    <row r="142" spans="1:10" s="134" customFormat="1" ht="12.75">
      <c r="A142" s="104" t="s">
        <v>109</v>
      </c>
      <c r="B142" s="73" t="s">
        <v>231</v>
      </c>
      <c r="C142" s="67"/>
      <c r="D142" s="67"/>
      <c r="E142" s="67"/>
      <c r="F142" s="67"/>
      <c r="G142" s="67"/>
      <c r="H142" s="67"/>
      <c r="I142" s="67"/>
      <c r="J142" s="67"/>
    </row>
    <row r="143" spans="1:10" ht="15.75" thickBot="1">
      <c r="A143" s="104" t="s">
        <v>111</v>
      </c>
      <c r="B143" s="73" t="s">
        <v>232</v>
      </c>
      <c r="C143" s="67"/>
      <c r="D143" s="67"/>
      <c r="E143" s="67"/>
      <c r="F143" s="67"/>
      <c r="G143" s="67"/>
      <c r="H143" s="67"/>
      <c r="I143" s="67"/>
      <c r="J143" s="67"/>
    </row>
    <row r="144" spans="1:10" ht="15.75" thickBot="1">
      <c r="A144" s="46" t="s">
        <v>113</v>
      </c>
      <c r="B144" s="72" t="s">
        <v>233</v>
      </c>
      <c r="C144" s="142">
        <f aca="true" t="shared" si="19" ref="C144:J144">+C125+C129+C134+C139</f>
        <v>26612</v>
      </c>
      <c r="D144" s="142">
        <f t="shared" si="19"/>
        <v>26612</v>
      </c>
      <c r="E144" s="142">
        <f t="shared" si="19"/>
        <v>0</v>
      </c>
      <c r="F144" s="142">
        <f t="shared" si="19"/>
        <v>0</v>
      </c>
      <c r="G144" s="142">
        <f t="shared" si="19"/>
        <v>29193</v>
      </c>
      <c r="H144" s="142">
        <f t="shared" si="19"/>
        <v>29193</v>
      </c>
      <c r="I144" s="142">
        <f t="shared" si="19"/>
        <v>0</v>
      </c>
      <c r="J144" s="142">
        <f t="shared" si="19"/>
        <v>0</v>
      </c>
    </row>
    <row r="145" spans="1:10" ht="15.75" thickBot="1">
      <c r="A145" s="143" t="s">
        <v>234</v>
      </c>
      <c r="B145" s="144" t="s">
        <v>235</v>
      </c>
      <c r="C145" s="142">
        <f aca="true" t="shared" si="20" ref="C145:J145">+C124+C144</f>
        <v>166857</v>
      </c>
      <c r="D145" s="142">
        <f t="shared" si="20"/>
        <v>113068</v>
      </c>
      <c r="E145" s="142">
        <f t="shared" si="20"/>
        <v>53789</v>
      </c>
      <c r="F145" s="142">
        <f t="shared" si="20"/>
        <v>0</v>
      </c>
      <c r="G145" s="142">
        <f t="shared" si="20"/>
        <v>307625</v>
      </c>
      <c r="H145" s="142">
        <f t="shared" si="20"/>
        <v>188644</v>
      </c>
      <c r="I145" s="142">
        <f t="shared" si="20"/>
        <v>118981</v>
      </c>
      <c r="J145" s="142">
        <f t="shared" si="20"/>
        <v>0</v>
      </c>
    </row>
    <row r="147" spans="1:10" ht="15">
      <c r="A147" s="145"/>
      <c r="B147" s="146"/>
      <c r="C147" s="147"/>
      <c r="D147" s="148"/>
      <c r="E147" s="148"/>
      <c r="F147" s="148"/>
      <c r="G147" s="147"/>
      <c r="H147" s="148"/>
      <c r="I147" s="148"/>
      <c r="J147" s="148"/>
    </row>
    <row r="148" spans="1:10" ht="15">
      <c r="A148" s="145"/>
      <c r="B148" s="146"/>
      <c r="C148" s="148"/>
      <c r="D148" s="148"/>
      <c r="E148" s="148"/>
      <c r="F148" s="148"/>
      <c r="G148" s="148"/>
      <c r="H148" s="148"/>
      <c r="I148" s="148"/>
      <c r="J148" s="148"/>
    </row>
  </sheetData>
  <sheetProtection/>
  <mergeCells count="14">
    <mergeCell ref="G88:J88"/>
    <mergeCell ref="G3:J3"/>
    <mergeCell ref="G5:G6"/>
    <mergeCell ref="H5:H6"/>
    <mergeCell ref="I5:I6"/>
    <mergeCell ref="J5:J6"/>
    <mergeCell ref="C88:F88"/>
    <mergeCell ref="C3:F3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9448818897637796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Önkormányzatának 2015.évi költségvetési bevételei és kiadásai, előirányzat csoportonként és kiemelt előirányzatonként&amp;R&amp;"-,Dőlt"&amp;8
 4.melléklet a 9/2016.(V.24.)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view="pageLayout" workbookViewId="0" topLeftCell="A1">
      <selection activeCell="B1" sqref="B1:H1"/>
    </sheetView>
  </sheetViews>
  <sheetFormatPr defaultColWidth="9.140625" defaultRowHeight="15"/>
  <cols>
    <col min="1" max="1" width="5.8515625" style="175" customWidth="1"/>
    <col min="2" max="2" width="38.8515625" style="284" customWidth="1"/>
    <col min="3" max="3" width="13.421875" style="258" customWidth="1"/>
    <col min="4" max="4" width="14.00390625" style="258" customWidth="1"/>
    <col min="5" max="5" width="15.421875" style="258" customWidth="1"/>
    <col min="6" max="6" width="12.8515625" style="258" customWidth="1"/>
    <col min="7" max="7" width="13.140625" style="258" customWidth="1"/>
    <col min="8" max="8" width="13.421875" style="175" customWidth="1"/>
    <col min="9" max="10" width="11.00390625" style="258" customWidth="1"/>
    <col min="11" max="11" width="11.8515625" style="258" customWidth="1"/>
    <col min="12" max="16384" width="9.140625" style="258" customWidth="1"/>
  </cols>
  <sheetData>
    <row r="1" spans="2:8" ht="15.75">
      <c r="B1" s="483"/>
      <c r="C1" s="483"/>
      <c r="D1" s="483"/>
      <c r="E1" s="483"/>
      <c r="F1" s="483"/>
      <c r="G1" s="483"/>
      <c r="H1" s="483"/>
    </row>
    <row r="2" spans="2:8" ht="15.75" thickBot="1">
      <c r="B2" s="176"/>
      <c r="C2" s="175"/>
      <c r="D2" s="175"/>
      <c r="E2" s="175"/>
      <c r="F2" s="175"/>
      <c r="G2" s="175"/>
      <c r="H2" s="94" t="s">
        <v>249</v>
      </c>
    </row>
    <row r="3" spans="1:8" s="260" customFormat="1" ht="48.75" thickBot="1">
      <c r="A3" s="259" t="s">
        <v>262</v>
      </c>
      <c r="B3" s="182" t="s">
        <v>351</v>
      </c>
      <c r="C3" s="183" t="s">
        <v>352</v>
      </c>
      <c r="D3" s="183" t="s">
        <v>353</v>
      </c>
      <c r="E3" s="183" t="s">
        <v>428</v>
      </c>
      <c r="F3" s="183" t="s">
        <v>426</v>
      </c>
      <c r="G3" s="183" t="s">
        <v>438</v>
      </c>
      <c r="H3" s="185" t="s">
        <v>429</v>
      </c>
    </row>
    <row r="4" spans="1:8" s="175" customFormat="1" ht="15.75" thickBot="1">
      <c r="A4" s="259" t="s">
        <v>240</v>
      </c>
      <c r="B4" s="261" t="s">
        <v>241</v>
      </c>
      <c r="C4" s="262" t="s">
        <v>242</v>
      </c>
      <c r="D4" s="262" t="s">
        <v>250</v>
      </c>
      <c r="E4" s="262" t="s">
        <v>251</v>
      </c>
      <c r="F4" s="262" t="s">
        <v>252</v>
      </c>
      <c r="G4" s="263"/>
      <c r="H4" s="264" t="s">
        <v>375</v>
      </c>
    </row>
    <row r="5" spans="1:8" ht="15.75" thickBot="1">
      <c r="A5" s="187" t="s">
        <v>4</v>
      </c>
      <c r="B5" s="265" t="s">
        <v>355</v>
      </c>
      <c r="C5" s="266">
        <v>244967</v>
      </c>
      <c r="D5" s="267"/>
      <c r="E5" s="266">
        <f>C5-F5</f>
        <v>191298</v>
      </c>
      <c r="F5" s="266">
        <v>53669</v>
      </c>
      <c r="G5" s="266">
        <v>31664</v>
      </c>
      <c r="H5" s="268"/>
    </row>
    <row r="6" spans="1:8" ht="15.75" thickBot="1">
      <c r="A6" s="187" t="s">
        <v>17</v>
      </c>
      <c r="B6" s="265" t="s">
        <v>441</v>
      </c>
      <c r="C6" s="266">
        <v>21236</v>
      </c>
      <c r="D6" s="267"/>
      <c r="E6" s="266"/>
      <c r="F6" s="266"/>
      <c r="G6" s="266">
        <v>21236</v>
      </c>
      <c r="H6" s="268"/>
    </row>
    <row r="7" spans="1:8" ht="15.75" thickBot="1">
      <c r="A7" s="187" t="s">
        <v>31</v>
      </c>
      <c r="B7" s="265" t="s">
        <v>442</v>
      </c>
      <c r="C7" s="266" t="s">
        <v>443</v>
      </c>
      <c r="D7" s="267"/>
      <c r="E7" s="269"/>
      <c r="F7" s="266"/>
      <c r="G7" s="266" t="s">
        <v>443</v>
      </c>
      <c r="H7" s="268"/>
    </row>
    <row r="8" spans="1:8" ht="15.75" thickBot="1">
      <c r="A8" s="187" t="s">
        <v>211</v>
      </c>
      <c r="B8" s="270" t="s">
        <v>444</v>
      </c>
      <c r="C8" s="266">
        <v>1975</v>
      </c>
      <c r="D8" s="267"/>
      <c r="E8" s="266"/>
      <c r="F8" s="266"/>
      <c r="G8" s="266">
        <v>1975</v>
      </c>
      <c r="H8" s="268"/>
    </row>
    <row r="9" spans="1:8" ht="15.75" thickBot="1">
      <c r="A9" s="187" t="s">
        <v>59</v>
      </c>
      <c r="B9" s="271" t="s">
        <v>445</v>
      </c>
      <c r="C9" s="266">
        <v>775</v>
      </c>
      <c r="D9" s="267"/>
      <c r="E9" s="266"/>
      <c r="F9" s="266"/>
      <c r="G9" s="266">
        <v>775</v>
      </c>
      <c r="H9" s="268"/>
    </row>
    <row r="10" spans="1:8" ht="15.75" thickBot="1">
      <c r="A10" s="187" t="s">
        <v>81</v>
      </c>
      <c r="B10" s="270" t="s">
        <v>446</v>
      </c>
      <c r="C10" s="266">
        <v>3000</v>
      </c>
      <c r="D10" s="267"/>
      <c r="E10" s="269"/>
      <c r="F10" s="266"/>
      <c r="G10" s="266">
        <v>3000</v>
      </c>
      <c r="H10" s="268"/>
    </row>
    <row r="11" spans="1:8" ht="15.75" thickBot="1">
      <c r="A11" s="187" t="s">
        <v>222</v>
      </c>
      <c r="B11" s="271" t="s">
        <v>447</v>
      </c>
      <c r="C11" s="269"/>
      <c r="D11" s="267"/>
      <c r="E11" s="269"/>
      <c r="F11" s="269"/>
      <c r="G11" s="272">
        <v>29800</v>
      </c>
      <c r="H11" s="268">
        <f aca="true" t="shared" si="0" ref="H11:H23">C11-E11-F11</f>
        <v>0</v>
      </c>
    </row>
    <row r="12" spans="1:8" ht="15.75" thickBot="1">
      <c r="A12" s="187" t="s">
        <v>103</v>
      </c>
      <c r="B12" s="271" t="s">
        <v>448</v>
      </c>
      <c r="C12" s="269"/>
      <c r="D12" s="267"/>
      <c r="E12" s="269"/>
      <c r="F12" s="269"/>
      <c r="G12" s="272">
        <v>30005</v>
      </c>
      <c r="H12" s="268">
        <f t="shared" si="0"/>
        <v>0</v>
      </c>
    </row>
    <row r="13" spans="1:8" ht="15.75" thickBot="1">
      <c r="A13" s="187" t="s">
        <v>113</v>
      </c>
      <c r="B13" s="271"/>
      <c r="C13" s="269"/>
      <c r="D13" s="267"/>
      <c r="E13" s="269"/>
      <c r="F13" s="269"/>
      <c r="G13" s="273"/>
      <c r="H13" s="268">
        <f t="shared" si="0"/>
        <v>0</v>
      </c>
    </row>
    <row r="14" spans="1:8" ht="15.75" thickBot="1">
      <c r="A14" s="187" t="s">
        <v>234</v>
      </c>
      <c r="B14" s="271"/>
      <c r="C14" s="269"/>
      <c r="D14" s="267"/>
      <c r="E14" s="269"/>
      <c r="F14" s="269"/>
      <c r="G14" s="273"/>
      <c r="H14" s="268">
        <f t="shared" si="0"/>
        <v>0</v>
      </c>
    </row>
    <row r="15" spans="1:8" ht="15.75" thickBot="1">
      <c r="A15" s="187" t="s">
        <v>279</v>
      </c>
      <c r="B15" s="271"/>
      <c r="C15" s="269"/>
      <c r="D15" s="267"/>
      <c r="E15" s="269"/>
      <c r="F15" s="269"/>
      <c r="G15" s="273"/>
      <c r="H15" s="268">
        <f t="shared" si="0"/>
        <v>0</v>
      </c>
    </row>
    <row r="16" spans="1:8" ht="15.75" thickBot="1">
      <c r="A16" s="187" t="s">
        <v>280</v>
      </c>
      <c r="B16" s="271"/>
      <c r="C16" s="269"/>
      <c r="D16" s="267"/>
      <c r="E16" s="269"/>
      <c r="F16" s="269"/>
      <c r="G16" s="273"/>
      <c r="H16" s="268">
        <f t="shared" si="0"/>
        <v>0</v>
      </c>
    </row>
    <row r="17" spans="1:8" ht="15.75" thickBot="1">
      <c r="A17" s="187" t="s">
        <v>281</v>
      </c>
      <c r="B17" s="271"/>
      <c r="C17" s="269"/>
      <c r="D17" s="267"/>
      <c r="E17" s="269"/>
      <c r="F17" s="269"/>
      <c r="G17" s="273"/>
      <c r="H17" s="268">
        <f t="shared" si="0"/>
        <v>0</v>
      </c>
    </row>
    <row r="18" spans="1:8" ht="15.75" thickBot="1">
      <c r="A18" s="187" t="s">
        <v>284</v>
      </c>
      <c r="B18" s="271"/>
      <c r="C18" s="269"/>
      <c r="D18" s="267"/>
      <c r="E18" s="269"/>
      <c r="F18" s="269"/>
      <c r="G18" s="273"/>
      <c r="H18" s="268"/>
    </row>
    <row r="19" spans="1:8" ht="15.75" thickBot="1">
      <c r="A19" s="187" t="s">
        <v>287</v>
      </c>
      <c r="B19" s="271"/>
      <c r="C19" s="269"/>
      <c r="D19" s="267"/>
      <c r="E19" s="269"/>
      <c r="F19" s="269"/>
      <c r="G19" s="273"/>
      <c r="H19" s="268">
        <f t="shared" si="0"/>
        <v>0</v>
      </c>
    </row>
    <row r="20" spans="1:8" ht="15.75" thickBot="1">
      <c r="A20" s="187" t="s">
        <v>290</v>
      </c>
      <c r="B20" s="271"/>
      <c r="C20" s="269"/>
      <c r="D20" s="267"/>
      <c r="E20" s="269"/>
      <c r="F20" s="269"/>
      <c r="G20" s="273"/>
      <c r="H20" s="268">
        <f t="shared" si="0"/>
        <v>0</v>
      </c>
    </row>
    <row r="21" spans="1:8" ht="15.75" thickBot="1">
      <c r="A21" s="187" t="s">
        <v>293</v>
      </c>
      <c r="B21" s="271"/>
      <c r="C21" s="269"/>
      <c r="D21" s="267"/>
      <c r="E21" s="269"/>
      <c r="F21" s="269"/>
      <c r="G21" s="273"/>
      <c r="H21" s="268">
        <f t="shared" si="0"/>
        <v>0</v>
      </c>
    </row>
    <row r="22" spans="1:8" ht="15.75" thickBot="1">
      <c r="A22" s="187" t="s">
        <v>296</v>
      </c>
      <c r="B22" s="271"/>
      <c r="C22" s="269"/>
      <c r="D22" s="267"/>
      <c r="E22" s="269"/>
      <c r="F22" s="269"/>
      <c r="G22" s="273"/>
      <c r="H22" s="268">
        <f t="shared" si="0"/>
        <v>0</v>
      </c>
    </row>
    <row r="23" spans="1:8" ht="15.75" thickBot="1">
      <c r="A23" s="187" t="s">
        <v>299</v>
      </c>
      <c r="B23" s="207"/>
      <c r="C23" s="274"/>
      <c r="D23" s="275"/>
      <c r="E23" s="274"/>
      <c r="F23" s="274"/>
      <c r="G23" s="276"/>
      <c r="H23" s="277">
        <f t="shared" si="0"/>
        <v>0</v>
      </c>
    </row>
    <row r="24" spans="1:8" s="282" customFormat="1" ht="13.5" thickBot="1">
      <c r="A24" s="187" t="s">
        <v>302</v>
      </c>
      <c r="B24" s="182" t="s">
        <v>354</v>
      </c>
      <c r="C24" s="278">
        <v>292406</v>
      </c>
      <c r="D24" s="279"/>
      <c r="E24" s="278">
        <f>SUM(E5:E23)</f>
        <v>191298</v>
      </c>
      <c r="F24" s="278">
        <v>53669</v>
      </c>
      <c r="G24" s="280">
        <f>SUM(G5:G12)</f>
        <v>118455</v>
      </c>
      <c r="H24" s="281">
        <f>SUM(H5:H23)</f>
        <v>0</v>
      </c>
    </row>
    <row r="25" ht="15">
      <c r="A25" s="283"/>
    </row>
    <row r="26" ht="15">
      <c r="A26" s="283"/>
    </row>
    <row r="27" ht="15">
      <c r="A27" s="283"/>
    </row>
    <row r="28" ht="15">
      <c r="A28" s="283"/>
    </row>
    <row r="29" ht="15">
      <c r="A29" s="283"/>
    </row>
    <row r="30" ht="15">
      <c r="A30" s="285"/>
    </row>
    <row r="31" ht="15">
      <c r="A31" s="285"/>
    </row>
    <row r="32" ht="15">
      <c r="A32" s="285"/>
    </row>
    <row r="33" s="258" customFormat="1" ht="15">
      <c r="A33" s="285"/>
    </row>
    <row r="34" s="258" customFormat="1" ht="15">
      <c r="A34" s="286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2015. évi beruházási (felhalmozási) kiadásainak előirányzata beruházásonként&amp;R&amp;"-,Dőlt"&amp;8
 7.melléklet a 9/2016.(V.24.)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view="pageLayout" workbookViewId="0" topLeftCell="A4">
      <selection activeCell="G3" sqref="G3"/>
    </sheetView>
  </sheetViews>
  <sheetFormatPr defaultColWidth="9.140625" defaultRowHeight="15"/>
  <cols>
    <col min="1" max="1" width="7.28125" style="287" customWidth="1"/>
    <col min="2" max="2" width="33.140625" style="289" customWidth="1"/>
    <col min="3" max="6" width="11.8515625" style="289" customWidth="1"/>
    <col min="7" max="16384" width="9.140625" style="289" customWidth="1"/>
  </cols>
  <sheetData>
    <row r="1" spans="2:6" ht="15">
      <c r="B1" s="288"/>
      <c r="C1" s="288"/>
      <c r="D1" s="288"/>
      <c r="E1" s="288"/>
      <c r="F1" s="288"/>
    </row>
    <row r="2" spans="2:6" ht="15.75">
      <c r="B2" s="290" t="s">
        <v>356</v>
      </c>
      <c r="C2" s="486" t="s">
        <v>372</v>
      </c>
      <c r="D2" s="486"/>
      <c r="E2" s="486"/>
      <c r="F2" s="486"/>
    </row>
    <row r="3" spans="2:6" ht="15.75">
      <c r="B3" s="290"/>
      <c r="C3" s="486"/>
      <c r="D3" s="486"/>
      <c r="E3" s="486"/>
      <c r="F3" s="486"/>
    </row>
    <row r="4" spans="2:6" ht="15.75" thickBot="1">
      <c r="B4" s="288"/>
      <c r="C4" s="288"/>
      <c r="D4" s="288"/>
      <c r="E4" s="487" t="s">
        <v>249</v>
      </c>
      <c r="F4" s="487"/>
    </row>
    <row r="5" spans="1:6" ht="15" customHeight="1" thickBot="1">
      <c r="A5" s="291" t="s">
        <v>261</v>
      </c>
      <c r="B5" s="292" t="s">
        <v>357</v>
      </c>
      <c r="C5" s="293" t="s">
        <v>359</v>
      </c>
      <c r="D5" s="293" t="s">
        <v>430</v>
      </c>
      <c r="E5" s="293" t="s">
        <v>431</v>
      </c>
      <c r="F5" s="294" t="s">
        <v>260</v>
      </c>
    </row>
    <row r="6" spans="1:6" s="287" customFormat="1" ht="15" customHeight="1" thickBot="1">
      <c r="A6" s="295" t="s">
        <v>240</v>
      </c>
      <c r="B6" s="296" t="s">
        <v>241</v>
      </c>
      <c r="C6" s="293" t="s">
        <v>242</v>
      </c>
      <c r="D6" s="293" t="s">
        <v>250</v>
      </c>
      <c r="E6" s="293" t="s">
        <v>251</v>
      </c>
      <c r="F6" s="294" t="s">
        <v>252</v>
      </c>
    </row>
    <row r="7" spans="1:6" ht="15">
      <c r="A7" s="297" t="s">
        <v>4</v>
      </c>
      <c r="B7" s="298" t="s">
        <v>361</v>
      </c>
      <c r="C7" s="299">
        <f>75997-73767</f>
        <v>2230</v>
      </c>
      <c r="D7" s="299"/>
      <c r="E7" s="299"/>
      <c r="F7" s="300">
        <f aca="true" t="shared" si="0" ref="F7:F13">SUM(C7:E7)</f>
        <v>2230</v>
      </c>
    </row>
    <row r="8" spans="1:6" ht="15">
      <c r="A8" s="301" t="s">
        <v>17</v>
      </c>
      <c r="B8" s="302" t="s">
        <v>362</v>
      </c>
      <c r="C8" s="303"/>
      <c r="D8" s="303"/>
      <c r="E8" s="303"/>
      <c r="F8" s="304">
        <f t="shared" si="0"/>
        <v>0</v>
      </c>
    </row>
    <row r="9" spans="1:6" ht="15">
      <c r="A9" s="301" t="s">
        <v>31</v>
      </c>
      <c r="B9" s="305" t="s">
        <v>363</v>
      </c>
      <c r="C9" s="306">
        <f>52096+21671</f>
        <v>73767</v>
      </c>
      <c r="D9" s="306"/>
      <c r="E9" s="306"/>
      <c r="F9" s="307">
        <f t="shared" si="0"/>
        <v>73767</v>
      </c>
    </row>
    <row r="10" spans="1:6" ht="15">
      <c r="A10" s="301" t="s">
        <v>211</v>
      </c>
      <c r="B10" s="305" t="s">
        <v>364</v>
      </c>
      <c r="C10" s="306"/>
      <c r="D10" s="306"/>
      <c r="E10" s="306"/>
      <c r="F10" s="307">
        <f t="shared" si="0"/>
        <v>0</v>
      </c>
    </row>
    <row r="11" spans="1:6" ht="15">
      <c r="A11" s="301" t="s">
        <v>59</v>
      </c>
      <c r="B11" s="305" t="s">
        <v>365</v>
      </c>
      <c r="C11" s="306"/>
      <c r="D11" s="306"/>
      <c r="E11" s="306"/>
      <c r="F11" s="307">
        <f t="shared" si="0"/>
        <v>0</v>
      </c>
    </row>
    <row r="12" spans="1:6" ht="15">
      <c r="A12" s="301" t="s">
        <v>81</v>
      </c>
      <c r="B12" s="305" t="s">
        <v>366</v>
      </c>
      <c r="C12" s="306"/>
      <c r="D12" s="306"/>
      <c r="E12" s="306"/>
      <c r="F12" s="307">
        <f t="shared" si="0"/>
        <v>0</v>
      </c>
    </row>
    <row r="13" spans="1:6" ht="15.75" thickBot="1">
      <c r="A13" s="301" t="s">
        <v>222</v>
      </c>
      <c r="B13" s="308"/>
      <c r="C13" s="309"/>
      <c r="D13" s="309"/>
      <c r="E13" s="309"/>
      <c r="F13" s="307">
        <f t="shared" si="0"/>
        <v>0</v>
      </c>
    </row>
    <row r="14" spans="1:6" ht="15.75" thickBot="1">
      <c r="A14" s="301" t="s">
        <v>103</v>
      </c>
      <c r="B14" s="310" t="s">
        <v>367</v>
      </c>
      <c r="C14" s="311">
        <f>C7+SUM(C9:C13)</f>
        <v>75997</v>
      </c>
      <c r="D14" s="311">
        <f>D7+SUM(D9:D13)</f>
        <v>0</v>
      </c>
      <c r="E14" s="311">
        <f>E7+SUM(E9:E13)</f>
        <v>0</v>
      </c>
      <c r="F14" s="312">
        <f>F7+SUM(F9:F13)</f>
        <v>75997</v>
      </c>
    </row>
    <row r="15" spans="1:6" ht="15.75" thickBot="1">
      <c r="A15" s="301" t="s">
        <v>113</v>
      </c>
      <c r="B15" s="313"/>
      <c r="C15" s="313"/>
      <c r="D15" s="313"/>
      <c r="E15" s="313"/>
      <c r="F15" s="314"/>
    </row>
    <row r="16" spans="1:6" ht="15" customHeight="1" thickBot="1">
      <c r="A16" s="301" t="s">
        <v>234</v>
      </c>
      <c r="B16" s="292" t="s">
        <v>368</v>
      </c>
      <c r="C16" s="293" t="s">
        <v>358</v>
      </c>
      <c r="D16" s="293" t="s">
        <v>359</v>
      </c>
      <c r="E16" s="293" t="s">
        <v>360</v>
      </c>
      <c r="F16" s="294" t="s">
        <v>260</v>
      </c>
    </row>
    <row r="17" spans="1:6" ht="15">
      <c r="A17" s="301" t="s">
        <v>279</v>
      </c>
      <c r="B17" s="298" t="s">
        <v>369</v>
      </c>
      <c r="C17" s="299"/>
      <c r="D17" s="299"/>
      <c r="E17" s="299"/>
      <c r="F17" s="300">
        <f aca="true" t="shared" si="1" ref="F17:F23">SUM(C17:E17)</f>
        <v>0</v>
      </c>
    </row>
    <row r="18" spans="1:6" ht="15">
      <c r="A18" s="301" t="s">
        <v>280</v>
      </c>
      <c r="B18" s="315" t="s">
        <v>370</v>
      </c>
      <c r="C18" s="306">
        <f>31664</f>
        <v>31664</v>
      </c>
      <c r="D18" s="306"/>
      <c r="E18" s="306"/>
      <c r="F18" s="307">
        <f t="shared" si="1"/>
        <v>31664</v>
      </c>
    </row>
    <row r="19" spans="1:6" ht="15">
      <c r="A19" s="301" t="s">
        <v>281</v>
      </c>
      <c r="B19" s="305" t="s">
        <v>371</v>
      </c>
      <c r="C19" s="306">
        <f>2677+720</f>
        <v>3397</v>
      </c>
      <c r="D19" s="306"/>
      <c r="E19" s="306"/>
      <c r="F19" s="307">
        <f t="shared" si="1"/>
        <v>3397</v>
      </c>
    </row>
    <row r="20" spans="1:6" ht="15">
      <c r="A20" s="301" t="s">
        <v>284</v>
      </c>
      <c r="B20" s="305" t="s">
        <v>434</v>
      </c>
      <c r="C20" s="306">
        <v>8633</v>
      </c>
      <c r="D20" s="306"/>
      <c r="E20" s="306"/>
      <c r="F20" s="307">
        <f t="shared" si="1"/>
        <v>8633</v>
      </c>
    </row>
    <row r="21" spans="1:6" ht="15">
      <c r="A21" s="301" t="s">
        <v>287</v>
      </c>
      <c r="B21" s="316" t="s">
        <v>435</v>
      </c>
      <c r="C21" s="306">
        <v>22005</v>
      </c>
      <c r="D21" s="306"/>
      <c r="E21" s="306"/>
      <c r="F21" s="307">
        <f t="shared" si="1"/>
        <v>22005</v>
      </c>
    </row>
    <row r="22" spans="1:6" ht="15">
      <c r="A22" s="301" t="s">
        <v>290</v>
      </c>
      <c r="B22" s="316" t="s">
        <v>436</v>
      </c>
      <c r="C22" s="306">
        <v>10298</v>
      </c>
      <c r="D22" s="306"/>
      <c r="E22" s="306"/>
      <c r="F22" s="307">
        <f t="shared" si="1"/>
        <v>10298</v>
      </c>
    </row>
    <row r="23" spans="1:6" ht="15.75" thickBot="1">
      <c r="A23" s="301" t="s">
        <v>293</v>
      </c>
      <c r="B23" s="308"/>
      <c r="C23" s="309"/>
      <c r="D23" s="309"/>
      <c r="E23" s="309"/>
      <c r="F23" s="307">
        <f t="shared" si="1"/>
        <v>0</v>
      </c>
    </row>
    <row r="24" spans="1:6" ht="15.75" thickBot="1">
      <c r="A24" s="317" t="s">
        <v>296</v>
      </c>
      <c r="B24" s="310" t="s">
        <v>245</v>
      </c>
      <c r="C24" s="311">
        <f>SUM(C17:C23)</f>
        <v>75997</v>
      </c>
      <c r="D24" s="311">
        <f>SUM(D17:D23)</f>
        <v>0</v>
      </c>
      <c r="E24" s="311">
        <f>SUM(E17:E23)</f>
        <v>0</v>
      </c>
      <c r="F24" s="312">
        <f>SUM(F17:F23)</f>
        <v>75997</v>
      </c>
    </row>
    <row r="25" spans="2:6" ht="15">
      <c r="B25" s="288"/>
      <c r="C25" s="288"/>
      <c r="D25" s="288"/>
      <c r="E25" s="288"/>
      <c r="F25" s="288"/>
    </row>
    <row r="26" spans="2:6" ht="15">
      <c r="B26" s="288"/>
      <c r="C26" s="288"/>
      <c r="D26" s="288"/>
      <c r="E26" s="288"/>
      <c r="F26" s="288"/>
    </row>
    <row r="27" spans="2:6" ht="15.75">
      <c r="B27" s="290"/>
      <c r="C27" s="486"/>
      <c r="D27" s="486"/>
      <c r="E27" s="486"/>
      <c r="F27" s="486"/>
    </row>
    <row r="28" spans="2:6" ht="15.75">
      <c r="B28" s="290"/>
      <c r="C28" s="486"/>
      <c r="D28" s="486"/>
      <c r="E28" s="486"/>
      <c r="F28" s="486"/>
    </row>
    <row r="29" spans="1:8" ht="15">
      <c r="A29" s="318"/>
      <c r="B29" s="319"/>
      <c r="C29" s="319"/>
      <c r="D29" s="319"/>
      <c r="E29" s="487"/>
      <c r="F29" s="487"/>
      <c r="G29" s="320"/>
      <c r="H29" s="320"/>
    </row>
    <row r="30" spans="1:8" ht="15">
      <c r="A30" s="321"/>
      <c r="B30" s="322"/>
      <c r="C30" s="323"/>
      <c r="D30" s="323"/>
      <c r="E30" s="323"/>
      <c r="F30" s="323"/>
      <c r="G30" s="320"/>
      <c r="H30" s="320"/>
    </row>
    <row r="31" spans="1:8" ht="15">
      <c r="A31" s="318"/>
      <c r="B31" s="322"/>
      <c r="C31" s="323"/>
      <c r="D31" s="323"/>
      <c r="E31" s="323"/>
      <c r="F31" s="323"/>
      <c r="G31" s="320"/>
      <c r="H31" s="320"/>
    </row>
    <row r="32" spans="1:8" ht="15">
      <c r="A32" s="318"/>
      <c r="B32" s="324"/>
      <c r="C32" s="325"/>
      <c r="D32" s="325"/>
      <c r="E32" s="325"/>
      <c r="F32" s="326"/>
      <c r="G32" s="320"/>
      <c r="H32" s="320"/>
    </row>
    <row r="33" spans="1:8" ht="15">
      <c r="A33" s="318"/>
      <c r="B33" s="327"/>
      <c r="C33" s="328"/>
      <c r="D33" s="328"/>
      <c r="E33" s="328"/>
      <c r="F33" s="329"/>
      <c r="G33" s="320"/>
      <c r="H33" s="320"/>
    </row>
    <row r="34" spans="1:8" ht="15">
      <c r="A34" s="318"/>
      <c r="B34" s="324"/>
      <c r="C34" s="325"/>
      <c r="D34" s="325"/>
      <c r="E34" s="325"/>
      <c r="F34" s="326"/>
      <c r="G34" s="320"/>
      <c r="H34" s="320"/>
    </row>
    <row r="35" spans="1:8" ht="15">
      <c r="A35" s="318"/>
      <c r="B35" s="324"/>
      <c r="C35" s="325"/>
      <c r="D35" s="325"/>
      <c r="E35" s="325"/>
      <c r="F35" s="326"/>
      <c r="G35" s="320"/>
      <c r="H35" s="320"/>
    </row>
    <row r="36" spans="1:8" ht="15">
      <c r="A36" s="318"/>
      <c r="B36" s="324"/>
      <c r="C36" s="325"/>
      <c r="D36" s="325"/>
      <c r="E36" s="325"/>
      <c r="F36" s="326"/>
      <c r="G36" s="320"/>
      <c r="H36" s="320"/>
    </row>
    <row r="37" spans="1:8" ht="15">
      <c r="A37" s="318"/>
      <c r="B37" s="324"/>
      <c r="C37" s="325"/>
      <c r="D37" s="325"/>
      <c r="E37" s="325"/>
      <c r="F37" s="326"/>
      <c r="G37" s="320"/>
      <c r="H37" s="320"/>
    </row>
    <row r="38" spans="1:8" ht="15">
      <c r="A38" s="318"/>
      <c r="B38" s="330"/>
      <c r="C38" s="325"/>
      <c r="D38" s="325"/>
      <c r="E38" s="325"/>
      <c r="F38" s="326"/>
      <c r="G38" s="320"/>
      <c r="H38" s="320"/>
    </row>
    <row r="39" spans="1:8" ht="15">
      <c r="A39" s="318"/>
      <c r="B39" s="331"/>
      <c r="C39" s="326"/>
      <c r="D39" s="326"/>
      <c r="E39" s="326"/>
      <c r="F39" s="326"/>
      <c r="G39" s="320"/>
      <c r="H39" s="320"/>
    </row>
    <row r="40" spans="1:8" ht="15">
      <c r="A40" s="318"/>
      <c r="B40" s="313"/>
      <c r="C40" s="313"/>
      <c r="D40" s="313"/>
      <c r="E40" s="313"/>
      <c r="F40" s="313"/>
      <c r="G40" s="320"/>
      <c r="H40" s="320"/>
    </row>
    <row r="41" spans="1:8" ht="15">
      <c r="A41" s="318"/>
      <c r="B41" s="322"/>
      <c r="C41" s="323"/>
      <c r="D41" s="323"/>
      <c r="E41" s="323"/>
      <c r="F41" s="323"/>
      <c r="G41" s="320"/>
      <c r="H41" s="320"/>
    </row>
    <row r="42" spans="1:8" ht="15">
      <c r="A42" s="318"/>
      <c r="B42" s="324"/>
      <c r="C42" s="325"/>
      <c r="D42" s="325"/>
      <c r="E42" s="325"/>
      <c r="F42" s="326"/>
      <c r="G42" s="320"/>
      <c r="H42" s="320"/>
    </row>
    <row r="43" spans="1:8" ht="15">
      <c r="A43" s="318"/>
      <c r="B43" s="332"/>
      <c r="C43" s="325"/>
      <c r="D43" s="325"/>
      <c r="E43" s="325"/>
      <c r="F43" s="326"/>
      <c r="G43" s="320"/>
      <c r="H43" s="320"/>
    </row>
    <row r="44" spans="1:8" ht="15">
      <c r="A44" s="318"/>
      <c r="B44" s="324"/>
      <c r="C44" s="325"/>
      <c r="D44" s="325"/>
      <c r="E44" s="325"/>
      <c r="F44" s="326"/>
      <c r="G44" s="320"/>
      <c r="H44" s="320"/>
    </row>
    <row r="45" spans="1:8" ht="15">
      <c r="A45" s="318"/>
      <c r="B45" s="324"/>
      <c r="C45" s="325"/>
      <c r="D45" s="325"/>
      <c r="E45" s="325"/>
      <c r="F45" s="326"/>
      <c r="G45" s="320"/>
      <c r="H45" s="320"/>
    </row>
    <row r="46" spans="1:8" ht="15">
      <c r="A46" s="318"/>
      <c r="B46" s="330"/>
      <c r="C46" s="325"/>
      <c r="D46" s="325"/>
      <c r="E46" s="325"/>
      <c r="F46" s="326"/>
      <c r="G46" s="320"/>
      <c r="H46" s="320"/>
    </row>
    <row r="47" spans="1:8" ht="15">
      <c r="A47" s="318"/>
      <c r="B47" s="330"/>
      <c r="C47" s="325"/>
      <c r="D47" s="325"/>
      <c r="E47" s="325"/>
      <c r="F47" s="326"/>
      <c r="G47" s="320"/>
      <c r="H47" s="320"/>
    </row>
    <row r="48" spans="1:8" ht="15">
      <c r="A48" s="318"/>
      <c r="B48" s="330"/>
      <c r="C48" s="325"/>
      <c r="D48" s="325"/>
      <c r="E48" s="325"/>
      <c r="F48" s="326"/>
      <c r="G48" s="320"/>
      <c r="H48" s="320"/>
    </row>
    <row r="49" spans="1:8" ht="15">
      <c r="A49" s="318"/>
      <c r="B49" s="331"/>
      <c r="C49" s="326"/>
      <c r="D49" s="326"/>
      <c r="E49" s="326"/>
      <c r="F49" s="326"/>
      <c r="G49" s="320"/>
      <c r="H49" s="320"/>
    </row>
    <row r="50" spans="1:8" ht="15">
      <c r="A50" s="318"/>
      <c r="B50" s="319"/>
      <c r="C50" s="319"/>
      <c r="D50" s="319"/>
      <c r="E50" s="319"/>
      <c r="F50" s="319"/>
      <c r="G50" s="320"/>
      <c r="H50" s="320"/>
    </row>
    <row r="51" spans="1:8" ht="15.75">
      <c r="A51" s="318"/>
      <c r="B51" s="488"/>
      <c r="C51" s="488"/>
      <c r="D51" s="488"/>
      <c r="E51" s="488"/>
      <c r="F51" s="488"/>
      <c r="G51" s="320"/>
      <c r="H51" s="320"/>
    </row>
    <row r="52" spans="2:6" ht="15">
      <c r="B52" s="319"/>
      <c r="C52" s="319"/>
      <c r="D52" s="319"/>
      <c r="E52" s="319"/>
      <c r="F52" s="319"/>
    </row>
    <row r="53" spans="2:9" ht="15">
      <c r="B53" s="491"/>
      <c r="C53" s="491"/>
      <c r="D53" s="491"/>
      <c r="E53" s="491"/>
      <c r="F53" s="491"/>
      <c r="I53" s="333"/>
    </row>
    <row r="54" spans="2:6" ht="15">
      <c r="B54" s="485"/>
      <c r="C54" s="485"/>
      <c r="D54" s="485"/>
      <c r="E54" s="484"/>
      <c r="F54" s="484"/>
    </row>
    <row r="55" spans="2:6" ht="15">
      <c r="B55" s="485"/>
      <c r="C55" s="485"/>
      <c r="D55" s="485"/>
      <c r="E55" s="484"/>
      <c r="F55" s="484"/>
    </row>
    <row r="56" spans="2:6" ht="15">
      <c r="B56" s="489"/>
      <c r="C56" s="489"/>
      <c r="D56" s="489"/>
      <c r="E56" s="490"/>
      <c r="F56" s="490"/>
    </row>
    <row r="57" spans="2:6" ht="15">
      <c r="B57" s="320"/>
      <c r="C57" s="320"/>
      <c r="D57" s="320"/>
      <c r="E57" s="320"/>
      <c r="F57" s="320"/>
    </row>
  </sheetData>
  <sheetProtection/>
  <mergeCells count="13">
    <mergeCell ref="B56:D56"/>
    <mergeCell ref="E56:F56"/>
    <mergeCell ref="B53:D53"/>
    <mergeCell ref="E53:F53"/>
    <mergeCell ref="B54:D54"/>
    <mergeCell ref="E54:F54"/>
    <mergeCell ref="B55:D55"/>
    <mergeCell ref="E55:F55"/>
    <mergeCell ref="C2:F3"/>
    <mergeCell ref="C27:F28"/>
    <mergeCell ref="E4:F4"/>
    <mergeCell ref="E29:F29"/>
    <mergeCell ref="B51:F51"/>
  </mergeCells>
  <conditionalFormatting sqref="F7:F14 C14:E14 C24:F24 F17:F23 F32:F39 C39:E39 F42:F49 C49:E49 E56:F56">
    <cfRule type="cellIs" priority="1" dxfId="1" operator="equal" stopIfTrue="1">
      <formula>0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  <headerFooter>
    <oddHeader>&amp;C&amp;"-,Félkövér"&amp;9Tiszagyulaháza község Európai Unios projektjeinek a felsorolása&amp;R&amp;"-,Dőlt"&amp;8
 8.melléklet a 9/2016.(V.24.)Önkormányzati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view="pageLayout" workbookViewId="0" topLeftCell="A1">
      <selection activeCell="H3" sqref="H3"/>
    </sheetView>
  </sheetViews>
  <sheetFormatPr defaultColWidth="9.140625" defaultRowHeight="15"/>
  <cols>
    <col min="1" max="1" width="7.7109375" style="334" customWidth="1"/>
    <col min="2" max="2" width="57.7109375" style="334" customWidth="1"/>
    <col min="3" max="3" width="11.28125" style="335" customWidth="1"/>
    <col min="4" max="4" width="10.421875" style="334" customWidth="1"/>
    <col min="5" max="6" width="11.140625" style="334" customWidth="1"/>
    <col min="7" max="16384" width="9.140625" style="334" customWidth="1"/>
  </cols>
  <sheetData>
    <row r="1" spans="1:5" ht="14.25" customHeight="1">
      <c r="A1" s="466" t="s">
        <v>0</v>
      </c>
      <c r="B1" s="466"/>
      <c r="C1" s="466"/>
      <c r="D1" s="466"/>
      <c r="E1" s="466"/>
    </row>
    <row r="2" spans="1:6" ht="12" customHeight="1" thickBot="1">
      <c r="A2" s="464" t="s">
        <v>416</v>
      </c>
      <c r="B2" s="464"/>
      <c r="D2" s="2"/>
      <c r="E2" s="487" t="s">
        <v>249</v>
      </c>
      <c r="F2" s="487"/>
    </row>
    <row r="3" spans="1:6" ht="37.5" customHeight="1" thickBot="1">
      <c r="A3" s="4" t="s">
        <v>2</v>
      </c>
      <c r="B3" s="5" t="s">
        <v>3</v>
      </c>
      <c r="C3" s="5" t="s">
        <v>432</v>
      </c>
      <c r="D3" s="336" t="s">
        <v>433</v>
      </c>
      <c r="E3" s="6" t="s">
        <v>426</v>
      </c>
      <c r="F3" s="6" t="s">
        <v>438</v>
      </c>
    </row>
    <row r="4" spans="1:6" s="338" customFormat="1" ht="12" customHeight="1" thickBot="1">
      <c r="A4" s="46" t="s">
        <v>240</v>
      </c>
      <c r="B4" s="47" t="s">
        <v>241</v>
      </c>
      <c r="C4" s="47" t="s">
        <v>242</v>
      </c>
      <c r="D4" s="47" t="s">
        <v>250</v>
      </c>
      <c r="E4" s="337" t="s">
        <v>251</v>
      </c>
      <c r="F4" s="337" t="s">
        <v>252</v>
      </c>
    </row>
    <row r="5" spans="1:6" s="341" customFormat="1" ht="12" customHeight="1" thickBot="1">
      <c r="A5" s="10" t="s">
        <v>4</v>
      </c>
      <c r="B5" s="11" t="s">
        <v>5</v>
      </c>
      <c r="C5" s="339">
        <f>+C6+C7+C8+C9+C10</f>
        <v>52047</v>
      </c>
      <c r="D5" s="339">
        <f>+D6+D7+D8+D9+D10</f>
        <v>63578</v>
      </c>
      <c r="E5" s="340">
        <f>+E6+E7+E8+E9+E10</f>
        <v>63160</v>
      </c>
      <c r="F5" s="340">
        <f>+F6+F7+F8+F9+F10</f>
        <v>53606</v>
      </c>
    </row>
    <row r="6" spans="1:6" s="341" customFormat="1" ht="12" customHeight="1">
      <c r="A6" s="13" t="s">
        <v>6</v>
      </c>
      <c r="B6" s="105" t="s">
        <v>7</v>
      </c>
      <c r="C6" s="342">
        <v>29695</v>
      </c>
      <c r="D6" s="342">
        <v>14659</v>
      </c>
      <c r="E6" s="15">
        <v>17622</v>
      </c>
      <c r="F6" s="15">
        <v>13817</v>
      </c>
    </row>
    <row r="7" spans="1:6" s="341" customFormat="1" ht="12" customHeight="1">
      <c r="A7" s="16" t="s">
        <v>8</v>
      </c>
      <c r="B7" s="108" t="s">
        <v>9</v>
      </c>
      <c r="C7" s="343"/>
      <c r="D7" s="343">
        <v>15307</v>
      </c>
      <c r="E7" s="15">
        <v>14431</v>
      </c>
      <c r="F7" s="15">
        <v>14101</v>
      </c>
    </row>
    <row r="8" spans="1:6" s="341" customFormat="1" ht="12" customHeight="1">
      <c r="A8" s="16" t="s">
        <v>10</v>
      </c>
      <c r="B8" s="108" t="s">
        <v>11</v>
      </c>
      <c r="C8" s="343">
        <v>16291</v>
      </c>
      <c r="D8" s="343">
        <v>21399</v>
      </c>
      <c r="E8" s="15">
        <v>15035</v>
      </c>
      <c r="F8" s="15">
        <v>17192</v>
      </c>
    </row>
    <row r="9" spans="1:6" s="341" customFormat="1" ht="12" customHeight="1">
      <c r="A9" s="16" t="s">
        <v>12</v>
      </c>
      <c r="B9" s="108" t="s">
        <v>13</v>
      </c>
      <c r="C9" s="343"/>
      <c r="D9" s="343">
        <v>855</v>
      </c>
      <c r="E9" s="15">
        <v>1200</v>
      </c>
      <c r="F9" s="15">
        <v>1200</v>
      </c>
    </row>
    <row r="10" spans="1:6" s="341" customFormat="1" ht="12" customHeight="1" thickBot="1">
      <c r="A10" s="16" t="s">
        <v>14</v>
      </c>
      <c r="B10" s="17" t="s">
        <v>425</v>
      </c>
      <c r="C10" s="344">
        <v>6061</v>
      </c>
      <c r="D10" s="344">
        <f>6062+5296</f>
        <v>11358</v>
      </c>
      <c r="E10" s="15">
        <v>14872</v>
      </c>
      <c r="F10" s="15">
        <v>7296</v>
      </c>
    </row>
    <row r="11" spans="1:6" s="341" customFormat="1" ht="12" customHeight="1" thickBot="1">
      <c r="A11" s="10" t="s">
        <v>17</v>
      </c>
      <c r="B11" s="110" t="s">
        <v>18</v>
      </c>
      <c r="C11" s="339">
        <f>+C12+C13+C14+C15+C16</f>
        <v>0</v>
      </c>
      <c r="D11" s="339">
        <f>+D12+D13+D14+D15+D16</f>
        <v>46778</v>
      </c>
      <c r="E11" s="340">
        <f>+E12+E13+E14+E15+E16</f>
        <v>21671</v>
      </c>
      <c r="F11" s="340">
        <f>+F12+F13+F14+F15+F16</f>
        <v>75000</v>
      </c>
    </row>
    <row r="12" spans="1:6" s="341" customFormat="1" ht="12" customHeight="1">
      <c r="A12" s="13" t="s">
        <v>19</v>
      </c>
      <c r="B12" s="105" t="s">
        <v>20</v>
      </c>
      <c r="C12" s="342"/>
      <c r="D12" s="342"/>
      <c r="E12" s="345"/>
      <c r="F12" s="345"/>
    </row>
    <row r="13" spans="1:6" s="341" customFormat="1" ht="12" customHeight="1">
      <c r="A13" s="16" t="s">
        <v>21</v>
      </c>
      <c r="B13" s="108" t="s">
        <v>22</v>
      </c>
      <c r="C13" s="343"/>
      <c r="D13" s="343"/>
      <c r="E13" s="67"/>
      <c r="F13" s="67"/>
    </row>
    <row r="14" spans="1:6" s="341" customFormat="1" ht="12" customHeight="1">
      <c r="A14" s="16" t="s">
        <v>23</v>
      </c>
      <c r="B14" s="108" t="s">
        <v>24</v>
      </c>
      <c r="C14" s="343"/>
      <c r="D14" s="343"/>
      <c r="E14" s="67"/>
      <c r="F14" s="67"/>
    </row>
    <row r="15" spans="1:6" s="341" customFormat="1" ht="12" customHeight="1">
      <c r="A15" s="16" t="s">
        <v>25</v>
      </c>
      <c r="B15" s="108" t="s">
        <v>26</v>
      </c>
      <c r="C15" s="343"/>
      <c r="D15" s="343"/>
      <c r="E15" s="67"/>
      <c r="F15" s="67"/>
    </row>
    <row r="16" spans="1:6" s="341" customFormat="1" ht="12" customHeight="1">
      <c r="A16" s="16" t="s">
        <v>27</v>
      </c>
      <c r="B16" s="108" t="s">
        <v>28</v>
      </c>
      <c r="C16" s="343"/>
      <c r="D16" s="343">
        <f>615+46128+35</f>
        <v>46778</v>
      </c>
      <c r="E16" s="67">
        <v>21671</v>
      </c>
      <c r="F16" s="67">
        <v>75000</v>
      </c>
    </row>
    <row r="17" spans="1:6" s="341" customFormat="1" ht="12" customHeight="1" thickBot="1">
      <c r="A17" s="20" t="s">
        <v>29</v>
      </c>
      <c r="B17" s="138" t="s">
        <v>30</v>
      </c>
      <c r="C17" s="346"/>
      <c r="D17" s="346">
        <v>46128</v>
      </c>
      <c r="E17" s="71">
        <v>21671</v>
      </c>
      <c r="F17" s="71">
        <v>21671</v>
      </c>
    </row>
    <row r="18" spans="1:6" s="341" customFormat="1" ht="12" customHeight="1" thickBot="1">
      <c r="A18" s="10" t="s">
        <v>31</v>
      </c>
      <c r="B18" s="11" t="s">
        <v>32</v>
      </c>
      <c r="C18" s="339">
        <f>+C19+C20+C21+C22+C23</f>
        <v>0</v>
      </c>
      <c r="D18" s="339">
        <f>+D19+D20+D21+D22+D23</f>
        <v>243956</v>
      </c>
      <c r="E18" s="340">
        <f>+E19+E20+E21+E22+E23</f>
        <v>52096</v>
      </c>
      <c r="F18" s="340">
        <f>+F19+F20+F21+F22+F23</f>
        <v>100457</v>
      </c>
    </row>
    <row r="19" spans="1:6" s="341" customFormat="1" ht="12" customHeight="1">
      <c r="A19" s="13" t="s">
        <v>33</v>
      </c>
      <c r="B19" s="105" t="s">
        <v>34</v>
      </c>
      <c r="C19" s="342"/>
      <c r="D19" s="342"/>
      <c r="E19" s="345"/>
      <c r="F19" s="345">
        <v>40357</v>
      </c>
    </row>
    <row r="20" spans="1:6" s="341" customFormat="1" ht="12" customHeight="1">
      <c r="A20" s="16" t="s">
        <v>35</v>
      </c>
      <c r="B20" s="108" t="s">
        <v>36</v>
      </c>
      <c r="C20" s="343"/>
      <c r="D20" s="343"/>
      <c r="E20" s="67"/>
      <c r="F20" s="67"/>
    </row>
    <row r="21" spans="1:6" s="341" customFormat="1" ht="12" customHeight="1">
      <c r="A21" s="16" t="s">
        <v>37</v>
      </c>
      <c r="B21" s="108" t="s">
        <v>38</v>
      </c>
      <c r="C21" s="343"/>
      <c r="D21" s="343"/>
      <c r="E21" s="67"/>
      <c r="F21" s="67"/>
    </row>
    <row r="22" spans="1:6" s="341" customFormat="1" ht="12" customHeight="1">
      <c r="A22" s="16" t="s">
        <v>39</v>
      </c>
      <c r="B22" s="108" t="s">
        <v>40</v>
      </c>
      <c r="C22" s="343"/>
      <c r="D22" s="343"/>
      <c r="E22" s="67"/>
      <c r="F22" s="67"/>
    </row>
    <row r="23" spans="1:6" s="341" customFormat="1" ht="12" customHeight="1">
      <c r="A23" s="16" t="s">
        <v>41</v>
      </c>
      <c r="B23" s="108" t="s">
        <v>42</v>
      </c>
      <c r="C23" s="343"/>
      <c r="D23" s="343">
        <f>243956</f>
        <v>243956</v>
      </c>
      <c r="E23" s="67">
        <v>52096</v>
      </c>
      <c r="F23" s="67">
        <v>60100</v>
      </c>
    </row>
    <row r="24" spans="1:6" s="341" customFormat="1" ht="12" customHeight="1" thickBot="1">
      <c r="A24" s="20" t="s">
        <v>43</v>
      </c>
      <c r="B24" s="138" t="s">
        <v>44</v>
      </c>
      <c r="C24" s="346"/>
      <c r="D24" s="346">
        <v>243956</v>
      </c>
      <c r="E24" s="71">
        <v>52096</v>
      </c>
      <c r="F24" s="71">
        <v>52096</v>
      </c>
    </row>
    <row r="25" spans="1:6" s="341" customFormat="1" ht="12" customHeight="1" thickBot="1">
      <c r="A25" s="10" t="s">
        <v>45</v>
      </c>
      <c r="B25" s="11" t="s">
        <v>46</v>
      </c>
      <c r="C25" s="347">
        <f>+C26+C29+C30+C31</f>
        <v>6702</v>
      </c>
      <c r="D25" s="347">
        <f>+D26+D29+D30+D31</f>
        <v>8655</v>
      </c>
      <c r="E25" s="348">
        <f>+E26+E29+E30+E31</f>
        <v>7590</v>
      </c>
      <c r="F25" s="348">
        <f>+F26+F29+F30+F31</f>
        <v>14001</v>
      </c>
    </row>
    <row r="26" spans="1:6" s="341" customFormat="1" ht="12" customHeight="1">
      <c r="A26" s="13" t="s">
        <v>47</v>
      </c>
      <c r="B26" s="105" t="s">
        <v>48</v>
      </c>
      <c r="C26" s="349">
        <f>+C27+C28</f>
        <v>5704</v>
      </c>
      <c r="D26" s="350">
        <f>+D27+D28</f>
        <v>7120</v>
      </c>
      <c r="E26" s="351">
        <f>+E27+E28</f>
        <v>6000</v>
      </c>
      <c r="F26" s="351">
        <f>+F27+F28</f>
        <v>11100</v>
      </c>
    </row>
    <row r="27" spans="1:6" s="341" customFormat="1" ht="12" customHeight="1">
      <c r="A27" s="16" t="s">
        <v>49</v>
      </c>
      <c r="B27" s="108" t="s">
        <v>50</v>
      </c>
      <c r="C27" s="352">
        <v>2000</v>
      </c>
      <c r="D27" s="343">
        <v>1894</v>
      </c>
      <c r="E27" s="67">
        <v>2000</v>
      </c>
      <c r="F27" s="67">
        <v>2600</v>
      </c>
    </row>
    <row r="28" spans="1:6" s="341" customFormat="1" ht="12" customHeight="1">
      <c r="A28" s="16" t="s">
        <v>51</v>
      </c>
      <c r="B28" s="108" t="s">
        <v>52</v>
      </c>
      <c r="C28" s="352">
        <v>3704</v>
      </c>
      <c r="D28" s="343">
        <v>5226</v>
      </c>
      <c r="E28" s="67">
        <v>4000</v>
      </c>
      <c r="F28" s="67">
        <v>8500</v>
      </c>
    </row>
    <row r="29" spans="1:6" s="341" customFormat="1" ht="12" customHeight="1">
      <c r="A29" s="16" t="s">
        <v>53</v>
      </c>
      <c r="B29" s="108" t="s">
        <v>54</v>
      </c>
      <c r="C29" s="352">
        <v>961</v>
      </c>
      <c r="D29" s="343">
        <v>913</v>
      </c>
      <c r="E29" s="67">
        <v>940</v>
      </c>
      <c r="F29" s="67">
        <v>1500</v>
      </c>
    </row>
    <row r="30" spans="1:6" s="341" customFormat="1" ht="12" customHeight="1">
      <c r="A30" s="16" t="s">
        <v>55</v>
      </c>
      <c r="B30" s="108" t="s">
        <v>56</v>
      </c>
      <c r="C30" s="352">
        <v>0</v>
      </c>
      <c r="D30" s="343">
        <v>497</v>
      </c>
      <c r="E30" s="67">
        <v>500</v>
      </c>
      <c r="F30" s="67">
        <v>941</v>
      </c>
    </row>
    <row r="31" spans="1:6" s="341" customFormat="1" ht="12" customHeight="1" thickBot="1">
      <c r="A31" s="20" t="s">
        <v>57</v>
      </c>
      <c r="B31" s="138" t="s">
        <v>58</v>
      </c>
      <c r="C31" s="353">
        <v>37</v>
      </c>
      <c r="D31" s="346">
        <v>125</v>
      </c>
      <c r="E31" s="71">
        <v>150</v>
      </c>
      <c r="F31" s="71">
        <v>460</v>
      </c>
    </row>
    <row r="32" spans="1:6" s="341" customFormat="1" ht="12" customHeight="1" thickBot="1">
      <c r="A32" s="10" t="s">
        <v>59</v>
      </c>
      <c r="B32" s="11" t="s">
        <v>60</v>
      </c>
      <c r="C32" s="339">
        <f>SUM(C33:C42)</f>
        <v>16042</v>
      </c>
      <c r="D32" s="339">
        <f>SUM(D33:D42)</f>
        <v>17422</v>
      </c>
      <c r="E32" s="340">
        <f>SUM(E33:E42)</f>
        <v>15390</v>
      </c>
      <c r="F32" s="340">
        <f>SUM(F33:F42)</f>
        <v>40713</v>
      </c>
    </row>
    <row r="33" spans="1:6" s="341" customFormat="1" ht="12" customHeight="1">
      <c r="A33" s="13" t="s">
        <v>61</v>
      </c>
      <c r="B33" s="105" t="s">
        <v>62</v>
      </c>
      <c r="C33" s="342"/>
      <c r="D33" s="342">
        <v>398</v>
      </c>
      <c r="E33" s="345"/>
      <c r="F33" s="345">
        <v>1700</v>
      </c>
    </row>
    <row r="34" spans="1:6" s="341" customFormat="1" ht="12" customHeight="1">
      <c r="A34" s="16" t="s">
        <v>63</v>
      </c>
      <c r="B34" s="108" t="s">
        <v>64</v>
      </c>
      <c r="C34" s="343">
        <v>13000</v>
      </c>
      <c r="D34" s="343">
        <f>1826+6365</f>
        <v>8191</v>
      </c>
      <c r="E34" s="67">
        <v>5977</v>
      </c>
      <c r="F34" s="67">
        <v>28331</v>
      </c>
    </row>
    <row r="35" spans="1:6" s="341" customFormat="1" ht="12" customHeight="1">
      <c r="A35" s="16" t="s">
        <v>65</v>
      </c>
      <c r="B35" s="108" t="s">
        <v>66</v>
      </c>
      <c r="C35" s="343"/>
      <c r="D35" s="343">
        <f>1357+625</f>
        <v>1982</v>
      </c>
      <c r="E35" s="67">
        <v>2000</v>
      </c>
      <c r="F35" s="67">
        <v>2500</v>
      </c>
    </row>
    <row r="36" spans="1:6" s="341" customFormat="1" ht="12" customHeight="1">
      <c r="A36" s="16" t="s">
        <v>67</v>
      </c>
      <c r="B36" s="108" t="s">
        <v>68</v>
      </c>
      <c r="C36" s="343">
        <v>43</v>
      </c>
      <c r="D36" s="343">
        <v>43</v>
      </c>
      <c r="E36" s="67">
        <v>43</v>
      </c>
      <c r="F36" s="67">
        <v>0</v>
      </c>
    </row>
    <row r="37" spans="1:6" s="341" customFormat="1" ht="12" customHeight="1">
      <c r="A37" s="16" t="s">
        <v>69</v>
      </c>
      <c r="B37" s="108" t="s">
        <v>70</v>
      </c>
      <c r="C37" s="343">
        <v>1000</v>
      </c>
      <c r="D37" s="343">
        <f>2264+1304</f>
        <v>3568</v>
      </c>
      <c r="E37" s="67">
        <v>3829</v>
      </c>
      <c r="F37" s="67">
        <v>4000</v>
      </c>
    </row>
    <row r="38" spans="1:6" s="341" customFormat="1" ht="12" customHeight="1">
      <c r="A38" s="16" t="s">
        <v>71</v>
      </c>
      <c r="B38" s="108" t="s">
        <v>72</v>
      </c>
      <c r="C38" s="343">
        <v>1999</v>
      </c>
      <c r="D38" s="343">
        <f>1013+2071</f>
        <v>3084</v>
      </c>
      <c r="E38" s="67">
        <v>3031</v>
      </c>
      <c r="F38" s="67">
        <v>3912</v>
      </c>
    </row>
    <row r="39" spans="1:6" s="341" customFormat="1" ht="12" customHeight="1">
      <c r="A39" s="16" t="s">
        <v>73</v>
      </c>
      <c r="B39" s="108" t="s">
        <v>74</v>
      </c>
      <c r="C39" s="343"/>
      <c r="D39" s="343"/>
      <c r="E39" s="67"/>
      <c r="F39" s="67"/>
    </row>
    <row r="40" spans="1:6" s="341" customFormat="1" ht="12" customHeight="1">
      <c r="A40" s="16" t="s">
        <v>75</v>
      </c>
      <c r="B40" s="108" t="s">
        <v>76</v>
      </c>
      <c r="C40" s="343"/>
      <c r="D40" s="343">
        <f>70+2</f>
        <v>72</v>
      </c>
      <c r="E40" s="67">
        <v>60</v>
      </c>
      <c r="F40" s="67">
        <v>70</v>
      </c>
    </row>
    <row r="41" spans="1:6" s="341" customFormat="1" ht="12" customHeight="1">
      <c r="A41" s="16" t="s">
        <v>77</v>
      </c>
      <c r="B41" s="108" t="s">
        <v>78</v>
      </c>
      <c r="C41" s="343"/>
      <c r="D41" s="352"/>
      <c r="E41" s="354"/>
      <c r="F41" s="354"/>
    </row>
    <row r="42" spans="1:6" s="341" customFormat="1" ht="12" customHeight="1" thickBot="1">
      <c r="A42" s="20" t="s">
        <v>79</v>
      </c>
      <c r="B42" s="138" t="s">
        <v>80</v>
      </c>
      <c r="C42" s="346"/>
      <c r="D42" s="353">
        <f>84</f>
        <v>84</v>
      </c>
      <c r="E42" s="355">
        <v>450</v>
      </c>
      <c r="F42" s="355">
        <v>200</v>
      </c>
    </row>
    <row r="43" spans="1:6" s="341" customFormat="1" ht="12" customHeight="1" thickBot="1">
      <c r="A43" s="10" t="s">
        <v>81</v>
      </c>
      <c r="B43" s="11" t="s">
        <v>82</v>
      </c>
      <c r="C43" s="339">
        <f>SUM(C44:C48)</f>
        <v>0</v>
      </c>
      <c r="D43" s="339">
        <f>SUM(D44:D48)</f>
        <v>0</v>
      </c>
      <c r="E43" s="340">
        <f>SUM(E44:E48)</f>
        <v>0</v>
      </c>
      <c r="F43" s="340">
        <f>SUM(F44:F48)</f>
        <v>1900</v>
      </c>
    </row>
    <row r="44" spans="1:6" s="341" customFormat="1" ht="12" customHeight="1">
      <c r="A44" s="13" t="s">
        <v>83</v>
      </c>
      <c r="B44" s="105" t="s">
        <v>84</v>
      </c>
      <c r="C44" s="342"/>
      <c r="D44" s="356"/>
      <c r="E44" s="357"/>
      <c r="F44" s="357"/>
    </row>
    <row r="45" spans="1:6" s="341" customFormat="1" ht="12" customHeight="1">
      <c r="A45" s="16" t="s">
        <v>85</v>
      </c>
      <c r="B45" s="108" t="s">
        <v>86</v>
      </c>
      <c r="C45" s="343"/>
      <c r="D45" s="352"/>
      <c r="E45" s="354"/>
      <c r="F45" s="354">
        <v>1900</v>
      </c>
    </row>
    <row r="46" spans="1:6" s="341" customFormat="1" ht="12" customHeight="1">
      <c r="A46" s="16" t="s">
        <v>87</v>
      </c>
      <c r="B46" s="108" t="s">
        <v>88</v>
      </c>
      <c r="C46" s="343"/>
      <c r="D46" s="352"/>
      <c r="E46" s="354"/>
      <c r="F46" s="354"/>
    </row>
    <row r="47" spans="1:6" s="341" customFormat="1" ht="12" customHeight="1">
      <c r="A47" s="16" t="s">
        <v>89</v>
      </c>
      <c r="B47" s="108" t="s">
        <v>90</v>
      </c>
      <c r="C47" s="343"/>
      <c r="D47" s="352"/>
      <c r="E47" s="354"/>
      <c r="F47" s="354"/>
    </row>
    <row r="48" spans="1:6" s="341" customFormat="1" ht="12" customHeight="1" thickBot="1">
      <c r="A48" s="20" t="s">
        <v>91</v>
      </c>
      <c r="B48" s="138" t="s">
        <v>92</v>
      </c>
      <c r="C48" s="346"/>
      <c r="D48" s="353"/>
      <c r="E48" s="355"/>
      <c r="F48" s="355"/>
    </row>
    <row r="49" spans="1:6" s="341" customFormat="1" ht="12" customHeight="1" thickBot="1">
      <c r="A49" s="10" t="s">
        <v>93</v>
      </c>
      <c r="B49" s="11" t="s">
        <v>94</v>
      </c>
      <c r="C49" s="339">
        <f>SUM(C50:C52)</f>
        <v>63520</v>
      </c>
      <c r="D49" s="339">
        <f>SUM(D50:D52)</f>
        <v>67842</v>
      </c>
      <c r="E49" s="340">
        <f>SUM(E50:E52)</f>
        <v>13940</v>
      </c>
      <c r="F49" s="340">
        <f>SUM(F50:F53)</f>
        <v>11110</v>
      </c>
    </row>
    <row r="50" spans="1:6" s="341" customFormat="1" ht="12" customHeight="1">
      <c r="A50" s="13" t="s">
        <v>95</v>
      </c>
      <c r="B50" s="105" t="s">
        <v>96</v>
      </c>
      <c r="C50" s="342"/>
      <c r="D50" s="342"/>
      <c r="E50" s="345"/>
      <c r="F50" s="345"/>
    </row>
    <row r="51" spans="1:6" s="341" customFormat="1" ht="12" customHeight="1">
      <c r="A51" s="16" t="s">
        <v>97</v>
      </c>
      <c r="B51" s="108" t="s">
        <v>98</v>
      </c>
      <c r="C51" s="343">
        <v>299</v>
      </c>
      <c r="D51" s="343">
        <f>1201+4</f>
        <v>1205</v>
      </c>
      <c r="E51" s="67"/>
      <c r="F51" s="67">
        <v>110</v>
      </c>
    </row>
    <row r="52" spans="1:6" s="341" customFormat="1" ht="12" customHeight="1">
      <c r="A52" s="16" t="s">
        <v>99</v>
      </c>
      <c r="B52" s="108" t="s">
        <v>100</v>
      </c>
      <c r="C52" s="343">
        <v>63221</v>
      </c>
      <c r="D52" s="343">
        <f>75+180+66382</f>
        <v>66637</v>
      </c>
      <c r="E52" s="67">
        <v>13940</v>
      </c>
      <c r="F52" s="67">
        <v>0</v>
      </c>
    </row>
    <row r="53" spans="1:6" s="341" customFormat="1" ht="12" customHeight="1" thickBot="1">
      <c r="A53" s="20" t="s">
        <v>101</v>
      </c>
      <c r="B53" s="138" t="s">
        <v>102</v>
      </c>
      <c r="C53" s="346"/>
      <c r="D53" s="346"/>
      <c r="E53" s="71"/>
      <c r="F53" s="71">
        <v>11000</v>
      </c>
    </row>
    <row r="54" spans="1:6" s="341" customFormat="1" ht="12" customHeight="1" thickBot="1">
      <c r="A54" s="10" t="s">
        <v>103</v>
      </c>
      <c r="B54" s="110" t="s">
        <v>104</v>
      </c>
      <c r="C54" s="339">
        <f>SUM(C55:C57)</f>
        <v>0</v>
      </c>
      <c r="D54" s="339">
        <f>SUM(D55:D57)</f>
        <v>0</v>
      </c>
      <c r="E54" s="340">
        <f>SUM(E55:E57)</f>
        <v>0</v>
      </c>
      <c r="F54" s="340">
        <f>SUM(F55:F57)</f>
        <v>0</v>
      </c>
    </row>
    <row r="55" spans="1:6" s="341" customFormat="1" ht="12" customHeight="1">
      <c r="A55" s="16" t="s">
        <v>105</v>
      </c>
      <c r="B55" s="105" t="s">
        <v>106</v>
      </c>
      <c r="C55" s="352"/>
      <c r="D55" s="352"/>
      <c r="E55" s="354"/>
      <c r="F55" s="354"/>
    </row>
    <row r="56" spans="1:6" s="341" customFormat="1" ht="12" customHeight="1">
      <c r="A56" s="16" t="s">
        <v>107</v>
      </c>
      <c r="B56" s="108" t="s">
        <v>108</v>
      </c>
      <c r="C56" s="352"/>
      <c r="D56" s="352"/>
      <c r="E56" s="354"/>
      <c r="F56" s="354"/>
    </row>
    <row r="57" spans="1:6" s="341" customFormat="1" ht="12" customHeight="1">
      <c r="A57" s="16" t="s">
        <v>109</v>
      </c>
      <c r="B57" s="108" t="s">
        <v>110</v>
      </c>
      <c r="C57" s="352"/>
      <c r="D57" s="352"/>
      <c r="E57" s="354"/>
      <c r="F57" s="354"/>
    </row>
    <row r="58" spans="1:6" s="341" customFormat="1" ht="12" customHeight="1" thickBot="1">
      <c r="A58" s="16" t="s">
        <v>111</v>
      </c>
      <c r="B58" s="138" t="s">
        <v>112</v>
      </c>
      <c r="C58" s="352"/>
      <c r="D58" s="352"/>
      <c r="E58" s="354"/>
      <c r="F58" s="354"/>
    </row>
    <row r="59" spans="1:6" s="341" customFormat="1" ht="12" customHeight="1" thickBot="1">
      <c r="A59" s="10" t="s">
        <v>113</v>
      </c>
      <c r="B59" s="11" t="s">
        <v>114</v>
      </c>
      <c r="C59" s="347">
        <f>+C5+C11+C18+C25+C32+C43+C49+C54</f>
        <v>138311</v>
      </c>
      <c r="D59" s="347">
        <f>+D5+D11+D18+D25+D32+D43+D49+D54</f>
        <v>448231</v>
      </c>
      <c r="E59" s="348">
        <f>+E5+E11+E18+E25+E32+E43+E49+E54</f>
        <v>173847</v>
      </c>
      <c r="F59" s="348">
        <f>+F5+F11+F18+F25+F32+F43+F49+F54</f>
        <v>296787</v>
      </c>
    </row>
    <row r="60" spans="1:6" s="341" customFormat="1" ht="12" customHeight="1" thickBot="1">
      <c r="A60" s="358" t="s">
        <v>115</v>
      </c>
      <c r="B60" s="110" t="s">
        <v>116</v>
      </c>
      <c r="C60" s="339">
        <f>SUM(C61:C63)</f>
        <v>0</v>
      </c>
      <c r="D60" s="339">
        <f>SUM(D61:D63)</f>
        <v>0</v>
      </c>
      <c r="E60" s="340">
        <f>SUM(E61:E63)</f>
        <v>0</v>
      </c>
      <c r="F60" s="340">
        <f>SUM(F61:F63)</f>
        <v>165</v>
      </c>
    </row>
    <row r="61" spans="1:6" s="341" customFormat="1" ht="12" customHeight="1">
      <c r="A61" s="16" t="s">
        <v>117</v>
      </c>
      <c r="B61" s="105" t="s">
        <v>118</v>
      </c>
      <c r="C61" s="352"/>
      <c r="D61" s="352"/>
      <c r="E61" s="354"/>
      <c r="F61" s="354"/>
    </row>
    <row r="62" spans="1:6" s="341" customFormat="1" ht="12" customHeight="1">
      <c r="A62" s="16" t="s">
        <v>119</v>
      </c>
      <c r="B62" s="108" t="s">
        <v>120</v>
      </c>
      <c r="C62" s="352"/>
      <c r="D62" s="352"/>
      <c r="E62" s="354">
        <v>0</v>
      </c>
      <c r="F62" s="354">
        <v>165</v>
      </c>
    </row>
    <row r="63" spans="1:6" s="341" customFormat="1" ht="12" customHeight="1" thickBot="1">
      <c r="A63" s="16" t="s">
        <v>121</v>
      </c>
      <c r="B63" s="359" t="s">
        <v>373</v>
      </c>
      <c r="C63" s="352"/>
      <c r="D63" s="352"/>
      <c r="E63" s="354"/>
      <c r="F63" s="354"/>
    </row>
    <row r="64" spans="1:6" s="341" customFormat="1" ht="12" customHeight="1" thickBot="1">
      <c r="A64" s="358" t="s">
        <v>123</v>
      </c>
      <c r="B64" s="110" t="s">
        <v>124</v>
      </c>
      <c r="C64" s="339">
        <f>SUM(C65:C68)</f>
        <v>0</v>
      </c>
      <c r="D64" s="339">
        <f>SUM(D65:D68)</f>
        <v>0</v>
      </c>
      <c r="E64" s="340">
        <f>SUM(E65:E68)</f>
        <v>0</v>
      </c>
      <c r="F64" s="340">
        <f>SUM(F65:F68)</f>
        <v>0</v>
      </c>
    </row>
    <row r="65" spans="1:6" s="341" customFormat="1" ht="12" customHeight="1">
      <c r="A65" s="16" t="s">
        <v>125</v>
      </c>
      <c r="B65" s="105" t="s">
        <v>126</v>
      </c>
      <c r="C65" s="352"/>
      <c r="D65" s="352"/>
      <c r="E65" s="354"/>
      <c r="F65" s="354"/>
    </row>
    <row r="66" spans="1:6" s="341" customFormat="1" ht="12" customHeight="1">
      <c r="A66" s="16" t="s">
        <v>127</v>
      </c>
      <c r="B66" s="108" t="s">
        <v>128</v>
      </c>
      <c r="C66" s="352"/>
      <c r="D66" s="352"/>
      <c r="E66" s="354"/>
      <c r="F66" s="354"/>
    </row>
    <row r="67" spans="1:6" s="341" customFormat="1" ht="12" customHeight="1">
      <c r="A67" s="16" t="s">
        <v>129</v>
      </c>
      <c r="B67" s="108" t="s">
        <v>130</v>
      </c>
      <c r="C67" s="352"/>
      <c r="D67" s="352"/>
      <c r="E67" s="354"/>
      <c r="F67" s="354"/>
    </row>
    <row r="68" spans="1:7" s="341" customFormat="1" ht="17.25" customHeight="1" thickBot="1">
      <c r="A68" s="16" t="s">
        <v>131</v>
      </c>
      <c r="B68" s="138" t="s">
        <v>132</v>
      </c>
      <c r="C68" s="352"/>
      <c r="D68" s="352"/>
      <c r="E68" s="354"/>
      <c r="F68" s="354"/>
      <c r="G68" s="360"/>
    </row>
    <row r="69" spans="1:6" s="341" customFormat="1" ht="12" customHeight="1" thickBot="1">
      <c r="A69" s="358" t="s">
        <v>133</v>
      </c>
      <c r="B69" s="110" t="s">
        <v>134</v>
      </c>
      <c r="C69" s="339">
        <f>SUM(C70:C71)</f>
        <v>17952</v>
      </c>
      <c r="D69" s="339">
        <f>SUM(D70:D71)</f>
        <v>3302</v>
      </c>
      <c r="E69" s="340">
        <f>SUM(E70:E71)</f>
        <v>1573</v>
      </c>
      <c r="F69" s="340">
        <f>SUM(F70:F71)</f>
        <v>18073</v>
      </c>
    </row>
    <row r="70" spans="1:6" s="341" customFormat="1" ht="12" customHeight="1">
      <c r="A70" s="16" t="s">
        <v>135</v>
      </c>
      <c r="B70" s="105" t="s">
        <v>136</v>
      </c>
      <c r="C70" s="352">
        <v>17952</v>
      </c>
      <c r="D70" s="352">
        <v>3302</v>
      </c>
      <c r="E70" s="354">
        <v>1573</v>
      </c>
      <c r="F70" s="354">
        <v>18073</v>
      </c>
    </row>
    <row r="71" spans="1:6" s="341" customFormat="1" ht="12" customHeight="1" thickBot="1">
      <c r="A71" s="16" t="s">
        <v>137</v>
      </c>
      <c r="B71" s="138" t="s">
        <v>138</v>
      </c>
      <c r="C71" s="352"/>
      <c r="D71" s="352"/>
      <c r="E71" s="354"/>
      <c r="F71" s="354"/>
    </row>
    <row r="72" spans="1:6" s="341" customFormat="1" ht="12" customHeight="1" thickBot="1">
      <c r="A72" s="358" t="s">
        <v>139</v>
      </c>
      <c r="B72" s="110" t="s">
        <v>140</v>
      </c>
      <c r="C72" s="339">
        <f>SUM(C73:C75)</f>
        <v>0</v>
      </c>
      <c r="D72" s="339">
        <f>SUM(D73:D75)</f>
        <v>24010</v>
      </c>
      <c r="E72" s="340">
        <f>SUM(E73:E75)</f>
        <v>26612</v>
      </c>
      <c r="F72" s="340">
        <f>SUM(F73:F75)</f>
        <v>29051</v>
      </c>
    </row>
    <row r="73" spans="1:6" s="341" customFormat="1" ht="12" customHeight="1">
      <c r="A73" s="16" t="s">
        <v>141</v>
      </c>
      <c r="B73" s="105" t="s">
        <v>142</v>
      </c>
      <c r="C73" s="352"/>
      <c r="D73" s="352">
        <f>22423+1587</f>
        <v>24010</v>
      </c>
      <c r="E73" s="354">
        <v>26612</v>
      </c>
      <c r="F73" s="354">
        <v>29051</v>
      </c>
    </row>
    <row r="74" spans="1:6" s="341" customFormat="1" ht="12" customHeight="1">
      <c r="A74" s="16" t="s">
        <v>143</v>
      </c>
      <c r="B74" s="108" t="s">
        <v>144</v>
      </c>
      <c r="C74" s="352"/>
      <c r="D74" s="352"/>
      <c r="E74" s="354"/>
      <c r="F74" s="354"/>
    </row>
    <row r="75" spans="1:6" s="341" customFormat="1" ht="12" customHeight="1" thickBot="1">
      <c r="A75" s="16" t="s">
        <v>145</v>
      </c>
      <c r="B75" s="138" t="s">
        <v>146</v>
      </c>
      <c r="C75" s="352"/>
      <c r="D75" s="352"/>
      <c r="E75" s="354"/>
      <c r="F75" s="354"/>
    </row>
    <row r="76" spans="1:6" s="341" customFormat="1" ht="12" customHeight="1" thickBot="1">
      <c r="A76" s="358" t="s">
        <v>147</v>
      </c>
      <c r="B76" s="110" t="s">
        <v>148</v>
      </c>
      <c r="C76" s="339">
        <f>SUM(C77:C80)</f>
        <v>0</v>
      </c>
      <c r="D76" s="339">
        <f>SUM(D77:D80)</f>
        <v>0</v>
      </c>
      <c r="E76" s="340">
        <f>SUM(E77:E80)</f>
        <v>0</v>
      </c>
      <c r="F76" s="340">
        <f>SUM(F77:F80)</f>
        <v>0</v>
      </c>
    </row>
    <row r="77" spans="1:6" s="341" customFormat="1" ht="12" customHeight="1">
      <c r="A77" s="361" t="s">
        <v>149</v>
      </c>
      <c r="B77" s="105" t="s">
        <v>150</v>
      </c>
      <c r="C77" s="352"/>
      <c r="D77" s="352"/>
      <c r="E77" s="354"/>
      <c r="F77" s="354"/>
    </row>
    <row r="78" spans="1:6" s="341" customFormat="1" ht="12" customHeight="1">
      <c r="A78" s="362" t="s">
        <v>151</v>
      </c>
      <c r="B78" s="108" t="s">
        <v>152</v>
      </c>
      <c r="C78" s="352"/>
      <c r="D78" s="352"/>
      <c r="E78" s="354"/>
      <c r="F78" s="354"/>
    </row>
    <row r="79" spans="1:6" s="341" customFormat="1" ht="12" customHeight="1">
      <c r="A79" s="362" t="s">
        <v>153</v>
      </c>
      <c r="B79" s="108" t="s">
        <v>154</v>
      </c>
      <c r="C79" s="352"/>
      <c r="D79" s="352"/>
      <c r="E79" s="354"/>
      <c r="F79" s="354"/>
    </row>
    <row r="80" spans="1:6" s="341" customFormat="1" ht="12" customHeight="1" thickBot="1">
      <c r="A80" s="363" t="s">
        <v>155</v>
      </c>
      <c r="B80" s="138" t="s">
        <v>156</v>
      </c>
      <c r="C80" s="352"/>
      <c r="D80" s="352"/>
      <c r="E80" s="354"/>
      <c r="F80" s="354"/>
    </row>
    <row r="81" spans="1:6" s="341" customFormat="1" ht="12" customHeight="1" thickBot="1">
      <c r="A81" s="358" t="s">
        <v>157</v>
      </c>
      <c r="B81" s="110" t="s">
        <v>158</v>
      </c>
      <c r="C81" s="364"/>
      <c r="D81" s="364"/>
      <c r="E81" s="365"/>
      <c r="F81" s="365"/>
    </row>
    <row r="82" spans="1:6" s="341" customFormat="1" ht="12" customHeight="1" thickBot="1">
      <c r="A82" s="358" t="s">
        <v>159</v>
      </c>
      <c r="B82" s="366" t="s">
        <v>160</v>
      </c>
      <c r="C82" s="347">
        <f>+C60+C64+C69+C72+C76+C81</f>
        <v>17952</v>
      </c>
      <c r="D82" s="347">
        <f>+D60+D64+D69+D72+D76+D81</f>
        <v>27312</v>
      </c>
      <c r="E82" s="348">
        <f>+E60+E64+E69+E72+E76+E81</f>
        <v>28185</v>
      </c>
      <c r="F82" s="348">
        <f>+F60+F64+F69+F72+F76+F81</f>
        <v>47289</v>
      </c>
    </row>
    <row r="83" spans="1:6" s="341" customFormat="1" ht="12" customHeight="1" thickBot="1">
      <c r="A83" s="367" t="s">
        <v>161</v>
      </c>
      <c r="B83" s="368" t="s">
        <v>162</v>
      </c>
      <c r="C83" s="347">
        <f>+C59+C82</f>
        <v>156263</v>
      </c>
      <c r="D83" s="347">
        <f>+D59+D82</f>
        <v>475543</v>
      </c>
      <c r="E83" s="348">
        <f>+E59+E82</f>
        <v>202032</v>
      </c>
      <c r="F83" s="348">
        <f>+F59+F82</f>
        <v>344076</v>
      </c>
    </row>
    <row r="84" spans="1:6" s="341" customFormat="1" ht="12" customHeight="1">
      <c r="A84" s="369"/>
      <c r="B84" s="370"/>
      <c r="C84" s="371"/>
      <c r="D84" s="372"/>
      <c r="E84" s="373"/>
      <c r="F84" s="373"/>
    </row>
    <row r="85" spans="1:5" s="341" customFormat="1" ht="12" customHeight="1">
      <c r="A85" s="466" t="s">
        <v>163</v>
      </c>
      <c r="B85" s="466"/>
      <c r="C85" s="466"/>
      <c r="D85" s="466"/>
      <c r="E85" s="466"/>
    </row>
    <row r="86" spans="1:6" s="341" customFormat="1" ht="12" customHeight="1" thickBot="1">
      <c r="A86" s="464" t="s">
        <v>374</v>
      </c>
      <c r="B86" s="464"/>
      <c r="C86" s="335"/>
      <c r="D86" s="2"/>
      <c r="E86" s="374"/>
      <c r="F86" s="374" t="s">
        <v>1</v>
      </c>
    </row>
    <row r="87" spans="1:6" s="341" customFormat="1" ht="35.25" customHeight="1" thickBot="1">
      <c r="A87" s="4" t="s">
        <v>262</v>
      </c>
      <c r="B87" s="5" t="s">
        <v>164</v>
      </c>
      <c r="C87" s="5" t="s">
        <v>432</v>
      </c>
      <c r="D87" s="336" t="s">
        <v>433</v>
      </c>
      <c r="E87" s="6" t="s">
        <v>426</v>
      </c>
      <c r="F87" s="6" t="s">
        <v>438</v>
      </c>
    </row>
    <row r="88" spans="1:6" s="341" customFormat="1" ht="12" customHeight="1" thickBot="1">
      <c r="A88" s="46">
        <v>1</v>
      </c>
      <c r="B88" s="47">
        <v>2</v>
      </c>
      <c r="C88" s="47">
        <v>3</v>
      </c>
      <c r="D88" s="47">
        <v>4</v>
      </c>
      <c r="E88" s="48">
        <v>5</v>
      </c>
      <c r="F88" s="48">
        <v>5</v>
      </c>
    </row>
    <row r="89" spans="1:6" s="341" customFormat="1" ht="15" customHeight="1" thickBot="1">
      <c r="A89" s="49" t="s">
        <v>4</v>
      </c>
      <c r="B89" s="50" t="s">
        <v>449</v>
      </c>
      <c r="C89" s="375">
        <f>SUM(C90:C94)</f>
        <v>138270</v>
      </c>
      <c r="D89" s="376">
        <f>+D90+D91+D92+D93+D94</f>
        <v>205819</v>
      </c>
      <c r="E89" s="377">
        <f>+E90+E91+E92+E93+E94</f>
        <v>121251</v>
      </c>
      <c r="F89" s="377">
        <f>+F90+F91+F92+F93+F94</f>
        <v>195428</v>
      </c>
    </row>
    <row r="90" spans="1:6" s="341" customFormat="1" ht="12.75" customHeight="1">
      <c r="A90" s="52" t="s">
        <v>6</v>
      </c>
      <c r="B90" s="53" t="s">
        <v>165</v>
      </c>
      <c r="C90" s="378">
        <f>54395+90</f>
        <v>54485</v>
      </c>
      <c r="D90" s="379">
        <f>64401+146+207+664+182+15555+399+46</f>
        <v>81600</v>
      </c>
      <c r="E90" s="380">
        <v>43874</v>
      </c>
      <c r="F90" s="380">
        <v>75981</v>
      </c>
    </row>
    <row r="91" spans="1:6" ht="16.5" customHeight="1">
      <c r="A91" s="16" t="s">
        <v>8</v>
      </c>
      <c r="B91" s="55" t="s">
        <v>166</v>
      </c>
      <c r="C91" s="155">
        <v>10531</v>
      </c>
      <c r="D91" s="343">
        <f>9441+2256+62+186+66+4200+69+79</f>
        <v>16359</v>
      </c>
      <c r="E91" s="67">
        <v>10378</v>
      </c>
      <c r="F91" s="67">
        <v>14107</v>
      </c>
    </row>
    <row r="92" spans="1:6" ht="15.75">
      <c r="A92" s="16" t="s">
        <v>10</v>
      </c>
      <c r="B92" s="55" t="s">
        <v>167</v>
      </c>
      <c r="C92" s="381">
        <f>47333+900</f>
        <v>48233</v>
      </c>
      <c r="D92" s="346">
        <f>58+7330+443+522+3819+2450+338+126+456+1123+4854+204+5203+1279+520+6977+26330+851+11+7138+16+95+1061+13+180+180+2154+234+20</f>
        <v>73985</v>
      </c>
      <c r="E92" s="71">
        <v>44706</v>
      </c>
      <c r="F92" s="71">
        <v>64460</v>
      </c>
    </row>
    <row r="93" spans="1:6" s="338" customFormat="1" ht="12" customHeight="1">
      <c r="A93" s="16" t="s">
        <v>12</v>
      </c>
      <c r="B93" s="56" t="s">
        <v>168</v>
      </c>
      <c r="C93" s="381">
        <v>8554</v>
      </c>
      <c r="D93" s="346">
        <f>90+2300+2415+468+615</f>
        <v>5888</v>
      </c>
      <c r="E93" s="71">
        <v>4354</v>
      </c>
      <c r="F93" s="71">
        <v>4354</v>
      </c>
    </row>
    <row r="94" spans="1:6" ht="12" customHeight="1">
      <c r="A94" s="16" t="s">
        <v>169</v>
      </c>
      <c r="B94" s="57" t="s">
        <v>170</v>
      </c>
      <c r="C94" s="71">
        <v>16467</v>
      </c>
      <c r="D94" s="71">
        <f>D95+D96+D97+D98+D99+D100+D101+D102+D103+D104</f>
        <v>27987</v>
      </c>
      <c r="E94" s="71">
        <v>17939</v>
      </c>
      <c r="F94" s="71">
        <f>F95+F99+F101+F104</f>
        <v>36526</v>
      </c>
    </row>
    <row r="95" spans="1:6" ht="12" customHeight="1">
      <c r="A95" s="16" t="s">
        <v>15</v>
      </c>
      <c r="B95" s="55" t="s">
        <v>171</v>
      </c>
      <c r="C95" s="381"/>
      <c r="D95" s="346">
        <v>274</v>
      </c>
      <c r="E95" s="71">
        <v>10</v>
      </c>
      <c r="F95" s="71">
        <v>3469</v>
      </c>
    </row>
    <row r="96" spans="1:6" ht="12" customHeight="1">
      <c r="A96" s="16" t="s">
        <v>172</v>
      </c>
      <c r="B96" s="58" t="s">
        <v>173</v>
      </c>
      <c r="C96" s="381"/>
      <c r="D96" s="346"/>
      <c r="E96" s="71"/>
      <c r="F96" s="71"/>
    </row>
    <row r="97" spans="1:6" ht="12" customHeight="1">
      <c r="A97" s="16" t="s">
        <v>174</v>
      </c>
      <c r="B97" s="59" t="s">
        <v>175</v>
      </c>
      <c r="C97" s="381"/>
      <c r="D97" s="346"/>
      <c r="E97" s="71"/>
      <c r="F97" s="71"/>
    </row>
    <row r="98" spans="1:6" ht="12" customHeight="1">
      <c r="A98" s="16" t="s">
        <v>176</v>
      </c>
      <c r="B98" s="59" t="s">
        <v>177</v>
      </c>
      <c r="C98" s="381"/>
      <c r="D98" s="346"/>
      <c r="E98" s="71"/>
      <c r="F98" s="71"/>
    </row>
    <row r="99" spans="1:6" ht="12" customHeight="1">
      <c r="A99" s="16" t="s">
        <v>178</v>
      </c>
      <c r="B99" s="58" t="s">
        <v>179</v>
      </c>
      <c r="C99" s="381">
        <f>8994+1500+5973</f>
        <v>16467</v>
      </c>
      <c r="D99" s="346">
        <f>21729+33</f>
        <v>21762</v>
      </c>
      <c r="E99" s="71">
        <v>17939</v>
      </c>
      <c r="F99" s="71">
        <v>25650</v>
      </c>
    </row>
    <row r="100" spans="1:6" ht="12" customHeight="1">
      <c r="A100" s="16" t="s">
        <v>180</v>
      </c>
      <c r="B100" s="58" t="s">
        <v>181</v>
      </c>
      <c r="C100" s="381"/>
      <c r="D100" s="346"/>
      <c r="E100" s="71"/>
      <c r="F100" s="71"/>
    </row>
    <row r="101" spans="1:6" ht="12" customHeight="1">
      <c r="A101" s="16" t="s">
        <v>182</v>
      </c>
      <c r="B101" s="59" t="s">
        <v>183</v>
      </c>
      <c r="C101" s="381"/>
      <c r="D101" s="346"/>
      <c r="E101" s="71"/>
      <c r="F101" s="71">
        <v>461</v>
      </c>
    </row>
    <row r="102" spans="1:6" ht="12" customHeight="1">
      <c r="A102" s="60" t="s">
        <v>184</v>
      </c>
      <c r="B102" s="61" t="s">
        <v>185</v>
      </c>
      <c r="C102" s="381"/>
      <c r="D102" s="346"/>
      <c r="E102" s="71"/>
      <c r="F102" s="71"/>
    </row>
    <row r="103" spans="1:6" ht="12" customHeight="1">
      <c r="A103" s="16" t="s">
        <v>186</v>
      </c>
      <c r="B103" s="61" t="s">
        <v>187</v>
      </c>
      <c r="C103" s="381"/>
      <c r="D103" s="346"/>
      <c r="E103" s="71"/>
      <c r="F103" s="71"/>
    </row>
    <row r="104" spans="1:6" ht="12" customHeight="1" thickBot="1">
      <c r="A104" s="62" t="s">
        <v>188</v>
      </c>
      <c r="B104" s="63" t="s">
        <v>189</v>
      </c>
      <c r="C104" s="382"/>
      <c r="D104" s="383">
        <v>5951</v>
      </c>
      <c r="E104" s="384">
        <v>120</v>
      </c>
      <c r="F104" s="384">
        <v>6946</v>
      </c>
    </row>
    <row r="105" spans="1:6" ht="12" customHeight="1" thickBot="1">
      <c r="A105" s="10" t="s">
        <v>17</v>
      </c>
      <c r="B105" s="65" t="s">
        <v>450</v>
      </c>
      <c r="C105" s="385">
        <f>+C106+C108+C110</f>
        <v>7353</v>
      </c>
      <c r="D105" s="339">
        <f>+D106+D108+D110</f>
        <v>245077</v>
      </c>
      <c r="E105" s="340">
        <f>+E106+E108+E110</f>
        <v>53669</v>
      </c>
      <c r="F105" s="340">
        <f>+F106+F108+F110</f>
        <v>118455</v>
      </c>
    </row>
    <row r="106" spans="1:6" ht="12" customHeight="1">
      <c r="A106" s="13" t="s">
        <v>19</v>
      </c>
      <c r="B106" s="55" t="s">
        <v>190</v>
      </c>
      <c r="C106" s="386">
        <v>6703</v>
      </c>
      <c r="D106" s="342">
        <f>109367+629+14419+6692+732+198</f>
        <v>132037</v>
      </c>
      <c r="E106" s="345">
        <v>31664</v>
      </c>
      <c r="F106" s="345">
        <v>67214</v>
      </c>
    </row>
    <row r="107" spans="1:6" ht="12" customHeight="1">
      <c r="A107" s="13" t="s">
        <v>21</v>
      </c>
      <c r="B107" s="66" t="s">
        <v>191</v>
      </c>
      <c r="C107" s="386"/>
      <c r="D107" s="342">
        <f>D106-732-198</f>
        <v>131107</v>
      </c>
      <c r="E107" s="345">
        <v>31664</v>
      </c>
      <c r="F107" s="345">
        <v>31664</v>
      </c>
    </row>
    <row r="108" spans="1:6" ht="12" customHeight="1">
      <c r="A108" s="13" t="s">
        <v>23</v>
      </c>
      <c r="B108" s="66" t="s">
        <v>192</v>
      </c>
      <c r="C108" s="155">
        <v>650</v>
      </c>
      <c r="D108" s="343">
        <f>26378+7106</f>
        <v>33484</v>
      </c>
      <c r="E108" s="67">
        <v>0</v>
      </c>
      <c r="F108" s="67">
        <v>21236</v>
      </c>
    </row>
    <row r="109" spans="1:6" ht="12" customHeight="1">
      <c r="A109" s="13" t="s">
        <v>25</v>
      </c>
      <c r="B109" s="66" t="s">
        <v>193</v>
      </c>
      <c r="C109" s="387">
        <v>650</v>
      </c>
      <c r="D109" s="343">
        <v>33484</v>
      </c>
      <c r="E109" s="67">
        <v>0</v>
      </c>
      <c r="F109" s="67">
        <v>0</v>
      </c>
    </row>
    <row r="110" spans="1:6" ht="12" customHeight="1">
      <c r="A110" s="13" t="s">
        <v>27</v>
      </c>
      <c r="B110" s="138" t="s">
        <v>194</v>
      </c>
      <c r="C110" s="387"/>
      <c r="D110" s="343">
        <v>79556</v>
      </c>
      <c r="E110" s="67">
        <v>22005</v>
      </c>
      <c r="F110" s="67">
        <v>30005</v>
      </c>
    </row>
    <row r="111" spans="1:6" ht="12" customHeight="1">
      <c r="A111" s="13" t="s">
        <v>29</v>
      </c>
      <c r="B111" s="139" t="s">
        <v>195</v>
      </c>
      <c r="C111" s="387"/>
      <c r="D111" s="343"/>
      <c r="E111" s="67"/>
      <c r="F111" s="67"/>
    </row>
    <row r="112" spans="1:6" ht="15.75">
      <c r="A112" s="13" t="s">
        <v>196</v>
      </c>
      <c r="B112" s="70" t="s">
        <v>197</v>
      </c>
      <c r="C112" s="387"/>
      <c r="D112" s="343"/>
      <c r="E112" s="67"/>
      <c r="F112" s="67"/>
    </row>
    <row r="113" spans="1:6" ht="12" customHeight="1">
      <c r="A113" s="13" t="s">
        <v>198</v>
      </c>
      <c r="B113" s="59" t="s">
        <v>177</v>
      </c>
      <c r="C113" s="387"/>
      <c r="D113" s="343"/>
      <c r="E113" s="67"/>
      <c r="F113" s="67"/>
    </row>
    <row r="114" spans="1:6" ht="12" customHeight="1">
      <c r="A114" s="13" t="s">
        <v>199</v>
      </c>
      <c r="B114" s="59" t="s">
        <v>200</v>
      </c>
      <c r="C114" s="387"/>
      <c r="D114" s="343">
        <v>79556</v>
      </c>
      <c r="E114" s="67">
        <v>22005</v>
      </c>
      <c r="F114" s="67">
        <v>22005</v>
      </c>
    </row>
    <row r="115" spans="1:6" ht="12" customHeight="1">
      <c r="A115" s="13" t="s">
        <v>201</v>
      </c>
      <c r="B115" s="59" t="s">
        <v>202</v>
      </c>
      <c r="C115" s="387"/>
      <c r="D115" s="343"/>
      <c r="E115" s="67"/>
      <c r="F115" s="67"/>
    </row>
    <row r="116" spans="1:6" ht="12" customHeight="1">
      <c r="A116" s="13" t="s">
        <v>203</v>
      </c>
      <c r="B116" s="59" t="s">
        <v>183</v>
      </c>
      <c r="C116" s="387"/>
      <c r="D116" s="343"/>
      <c r="E116" s="67"/>
      <c r="F116" s="67"/>
    </row>
    <row r="117" spans="1:6" ht="12" customHeight="1">
      <c r="A117" s="13" t="s">
        <v>204</v>
      </c>
      <c r="B117" s="59" t="s">
        <v>205</v>
      </c>
      <c r="C117" s="387"/>
      <c r="D117" s="343"/>
      <c r="E117" s="67"/>
      <c r="F117" s="67"/>
    </row>
    <row r="118" spans="1:6" ht="12" customHeight="1" thickBot="1">
      <c r="A118" s="60" t="s">
        <v>206</v>
      </c>
      <c r="B118" s="59" t="s">
        <v>207</v>
      </c>
      <c r="C118" s="388"/>
      <c r="D118" s="346"/>
      <c r="E118" s="71"/>
      <c r="F118" s="71"/>
    </row>
    <row r="119" spans="1:6" ht="12" customHeight="1" thickBot="1">
      <c r="A119" s="10" t="s">
        <v>31</v>
      </c>
      <c r="B119" s="72" t="s">
        <v>208</v>
      </c>
      <c r="C119" s="385">
        <f>+C120+C121</f>
        <v>0</v>
      </c>
      <c r="D119" s="339">
        <f>+D120+D121</f>
        <v>0</v>
      </c>
      <c r="E119" s="340">
        <f>+E120+E121</f>
        <v>500</v>
      </c>
      <c r="F119" s="340">
        <f>+F120+F121</f>
        <v>1000</v>
      </c>
    </row>
    <row r="120" spans="1:6" ht="12" customHeight="1">
      <c r="A120" s="13" t="s">
        <v>33</v>
      </c>
      <c r="B120" s="73" t="s">
        <v>209</v>
      </c>
      <c r="C120" s="386"/>
      <c r="D120" s="342"/>
      <c r="E120" s="345">
        <v>500</v>
      </c>
      <c r="F120" s="345">
        <v>1000</v>
      </c>
    </row>
    <row r="121" spans="1:6" ht="12" customHeight="1" thickBot="1">
      <c r="A121" s="20" t="s">
        <v>35</v>
      </c>
      <c r="B121" s="66" t="s">
        <v>210</v>
      </c>
      <c r="C121" s="381"/>
      <c r="D121" s="346"/>
      <c r="E121" s="71"/>
      <c r="F121" s="71"/>
    </row>
    <row r="122" spans="1:6" ht="12" customHeight="1" thickBot="1">
      <c r="A122" s="10" t="s">
        <v>211</v>
      </c>
      <c r="B122" s="72" t="s">
        <v>212</v>
      </c>
      <c r="C122" s="385">
        <f>+C89+C105+C119</f>
        <v>145623</v>
      </c>
      <c r="D122" s="339">
        <f>+D89+D105+D119</f>
        <v>450896</v>
      </c>
      <c r="E122" s="340">
        <f>+E89+E105+E119</f>
        <v>175420</v>
      </c>
      <c r="F122" s="340">
        <f>+F89+F105+F119</f>
        <v>314883</v>
      </c>
    </row>
    <row r="123" spans="1:6" ht="12" customHeight="1" thickBot="1">
      <c r="A123" s="10" t="s">
        <v>59</v>
      </c>
      <c r="B123" s="72" t="s">
        <v>213</v>
      </c>
      <c r="C123" s="385">
        <f>+C124+C125+C126</f>
        <v>0</v>
      </c>
      <c r="D123" s="339">
        <f>+D124+D125+D126</f>
        <v>0</v>
      </c>
      <c r="E123" s="340">
        <f>+E124+E125+E126</f>
        <v>0</v>
      </c>
      <c r="F123" s="340">
        <f>+F124+F125+F126</f>
        <v>165</v>
      </c>
    </row>
    <row r="124" spans="1:6" ht="12" customHeight="1">
      <c r="A124" s="13" t="s">
        <v>61</v>
      </c>
      <c r="B124" s="73" t="s">
        <v>214</v>
      </c>
      <c r="C124" s="387"/>
      <c r="D124" s="343"/>
      <c r="E124" s="67"/>
      <c r="F124" s="67"/>
    </row>
    <row r="125" spans="1:6" ht="12" customHeight="1">
      <c r="A125" s="13" t="s">
        <v>63</v>
      </c>
      <c r="B125" s="73" t="s">
        <v>215</v>
      </c>
      <c r="C125" s="387"/>
      <c r="D125" s="343"/>
      <c r="E125" s="67"/>
      <c r="F125" s="67">
        <v>165</v>
      </c>
    </row>
    <row r="126" spans="1:6" ht="12" customHeight="1" thickBot="1">
      <c r="A126" s="60" t="s">
        <v>65</v>
      </c>
      <c r="B126" s="77" t="s">
        <v>216</v>
      </c>
      <c r="C126" s="387"/>
      <c r="D126" s="343"/>
      <c r="E126" s="67"/>
      <c r="F126" s="67"/>
    </row>
    <row r="127" spans="1:6" ht="12" customHeight="1" thickBot="1">
      <c r="A127" s="10" t="s">
        <v>81</v>
      </c>
      <c r="B127" s="72" t="s">
        <v>217</v>
      </c>
      <c r="C127" s="385">
        <f>+C128+C129+C130+C131</f>
        <v>38</v>
      </c>
      <c r="D127" s="339">
        <f>+D128+D129+D130+D131</f>
        <v>0</v>
      </c>
      <c r="E127" s="340">
        <f>+E128+E129+E130+E131</f>
        <v>0</v>
      </c>
      <c r="F127" s="340">
        <f>+F128+F129+F130+F131</f>
        <v>0</v>
      </c>
    </row>
    <row r="128" spans="1:6" ht="12" customHeight="1">
      <c r="A128" s="13" t="s">
        <v>83</v>
      </c>
      <c r="B128" s="73" t="s">
        <v>218</v>
      </c>
      <c r="C128" s="387">
        <v>38</v>
      </c>
      <c r="D128" s="343"/>
      <c r="E128" s="67"/>
      <c r="F128" s="67"/>
    </row>
    <row r="129" spans="1:6" ht="12" customHeight="1">
      <c r="A129" s="13" t="s">
        <v>85</v>
      </c>
      <c r="B129" s="73" t="s">
        <v>219</v>
      </c>
      <c r="C129" s="387"/>
      <c r="D129" s="343"/>
      <c r="E129" s="67"/>
      <c r="F129" s="67"/>
    </row>
    <row r="130" spans="1:6" ht="12" customHeight="1">
      <c r="A130" s="13" t="s">
        <v>87</v>
      </c>
      <c r="B130" s="73" t="s">
        <v>220</v>
      </c>
      <c r="C130" s="387"/>
      <c r="D130" s="343"/>
      <c r="E130" s="67"/>
      <c r="F130" s="67"/>
    </row>
    <row r="131" spans="1:6" ht="12" customHeight="1" thickBot="1">
      <c r="A131" s="60" t="s">
        <v>89</v>
      </c>
      <c r="B131" s="77" t="s">
        <v>221</v>
      </c>
      <c r="C131" s="387"/>
      <c r="D131" s="343"/>
      <c r="E131" s="67"/>
      <c r="F131" s="67"/>
    </row>
    <row r="132" spans="1:6" ht="12" customHeight="1" thickBot="1">
      <c r="A132" s="10" t="s">
        <v>222</v>
      </c>
      <c r="B132" s="72" t="s">
        <v>223</v>
      </c>
      <c r="C132" s="389">
        <f>+C133+C134+C135+C136</f>
        <v>0</v>
      </c>
      <c r="D132" s="347">
        <f>+D133+D134+D135+D136</f>
        <v>22423</v>
      </c>
      <c r="E132" s="348">
        <f>+E133+E134+E135+E136</f>
        <v>26612</v>
      </c>
      <c r="F132" s="348">
        <f>+F133+F134+F135+F136</f>
        <v>29028</v>
      </c>
    </row>
    <row r="133" spans="1:6" ht="12" customHeight="1">
      <c r="A133" s="13" t="s">
        <v>95</v>
      </c>
      <c r="B133" s="73" t="s">
        <v>224</v>
      </c>
      <c r="C133" s="387"/>
      <c r="D133" s="343">
        <v>22423</v>
      </c>
      <c r="E133" s="67">
        <v>26612</v>
      </c>
      <c r="F133" s="67">
        <v>27441</v>
      </c>
    </row>
    <row r="134" spans="1:6" ht="12" customHeight="1">
      <c r="A134" s="13" t="s">
        <v>97</v>
      </c>
      <c r="B134" s="73" t="s">
        <v>225</v>
      </c>
      <c r="C134" s="387"/>
      <c r="D134" s="343"/>
      <c r="E134" s="67"/>
      <c r="F134" s="67">
        <v>1587</v>
      </c>
    </row>
    <row r="135" spans="1:6" ht="12" customHeight="1">
      <c r="A135" s="13" t="s">
        <v>99</v>
      </c>
      <c r="B135" s="73" t="s">
        <v>226</v>
      </c>
      <c r="C135" s="387"/>
      <c r="D135" s="343"/>
      <c r="E135" s="67"/>
      <c r="F135" s="67"/>
    </row>
    <row r="136" spans="1:6" ht="12" customHeight="1" thickBot="1">
      <c r="A136" s="60" t="s">
        <v>101</v>
      </c>
      <c r="B136" s="77" t="s">
        <v>227</v>
      </c>
      <c r="C136" s="387"/>
      <c r="D136" s="343"/>
      <c r="E136" s="67"/>
      <c r="F136" s="67"/>
    </row>
    <row r="137" spans="1:6" ht="12" customHeight="1" thickBot="1">
      <c r="A137" s="10" t="s">
        <v>103</v>
      </c>
      <c r="B137" s="72" t="s">
        <v>228</v>
      </c>
      <c r="C137" s="390">
        <f>+C138+C139+C140+C141</f>
        <v>0</v>
      </c>
      <c r="D137" s="391">
        <f>+D138+D139+D140+D141</f>
        <v>0</v>
      </c>
      <c r="E137" s="392">
        <f>+E138+E139+E140+E141</f>
        <v>0</v>
      </c>
      <c r="F137" s="392">
        <f>+F138+F139+F140+F141</f>
        <v>0</v>
      </c>
    </row>
    <row r="138" spans="1:6" ht="12" customHeight="1">
      <c r="A138" s="13" t="s">
        <v>105</v>
      </c>
      <c r="B138" s="73" t="s">
        <v>229</v>
      </c>
      <c r="C138" s="387"/>
      <c r="D138" s="343"/>
      <c r="E138" s="67"/>
      <c r="F138" s="67"/>
    </row>
    <row r="139" spans="1:6" ht="12" customHeight="1">
      <c r="A139" s="13" t="s">
        <v>107</v>
      </c>
      <c r="B139" s="73" t="s">
        <v>230</v>
      </c>
      <c r="C139" s="387"/>
      <c r="D139" s="343"/>
      <c r="E139" s="67"/>
      <c r="F139" s="67"/>
    </row>
    <row r="140" spans="1:6" ht="12" customHeight="1">
      <c r="A140" s="13" t="s">
        <v>109</v>
      </c>
      <c r="B140" s="73" t="s">
        <v>231</v>
      </c>
      <c r="C140" s="387"/>
      <c r="D140" s="343"/>
      <c r="E140" s="67"/>
      <c r="F140" s="67"/>
    </row>
    <row r="141" spans="1:6" ht="12" customHeight="1" thickBot="1">
      <c r="A141" s="13" t="s">
        <v>111</v>
      </c>
      <c r="B141" s="73" t="s">
        <v>232</v>
      </c>
      <c r="C141" s="387"/>
      <c r="D141" s="343"/>
      <c r="E141" s="67"/>
      <c r="F141" s="67"/>
    </row>
    <row r="142" spans="1:6" ht="12" customHeight="1" thickBot="1">
      <c r="A142" s="10" t="s">
        <v>113</v>
      </c>
      <c r="B142" s="72" t="s">
        <v>233</v>
      </c>
      <c r="C142" s="393">
        <f>+C123+C127+C132+C137</f>
        <v>38</v>
      </c>
      <c r="D142" s="394">
        <f>+D123+D127+D132+D137</f>
        <v>22423</v>
      </c>
      <c r="E142" s="395">
        <f>+E123+E127+E132+E137</f>
        <v>26612</v>
      </c>
      <c r="F142" s="395">
        <f>+F123+F127+F132+F137</f>
        <v>29193</v>
      </c>
    </row>
    <row r="143" spans="1:6" ht="12" customHeight="1" thickBot="1">
      <c r="A143" s="396" t="s">
        <v>234</v>
      </c>
      <c r="B143" s="144" t="s">
        <v>235</v>
      </c>
      <c r="C143" s="393">
        <f>+C122+C142</f>
        <v>145661</v>
      </c>
      <c r="D143" s="394">
        <f>+D122+D142</f>
        <v>473319</v>
      </c>
      <c r="E143" s="395">
        <f>+E122+E142</f>
        <v>202032</v>
      </c>
      <c r="F143" s="395">
        <f>+F122+F142</f>
        <v>344076</v>
      </c>
    </row>
    <row r="144" ht="12" customHeight="1">
      <c r="C144" s="334"/>
    </row>
    <row r="145" ht="12" customHeight="1">
      <c r="C145" s="334"/>
    </row>
    <row r="146" ht="12" customHeight="1">
      <c r="C146" s="334"/>
    </row>
    <row r="147" ht="12" customHeight="1">
      <c r="C147" s="334"/>
    </row>
    <row r="148" ht="12" customHeight="1">
      <c r="C148" s="334"/>
    </row>
    <row r="149" spans="3:6" ht="15" customHeight="1">
      <c r="C149" s="360"/>
      <c r="D149" s="360"/>
      <c r="E149" s="360"/>
      <c r="F149" s="360"/>
    </row>
    <row r="150" s="341" customFormat="1" ht="12.75" customHeight="1"/>
    <row r="151" ht="15.75">
      <c r="C151" s="334"/>
    </row>
    <row r="152" ht="15.75">
      <c r="C152" s="334"/>
    </row>
    <row r="153" ht="15.75">
      <c r="C153" s="334"/>
    </row>
    <row r="154" ht="16.5" customHeight="1">
      <c r="C154" s="334"/>
    </row>
    <row r="155" ht="15.75">
      <c r="C155" s="334"/>
    </row>
    <row r="156" ht="15.75">
      <c r="C156" s="334"/>
    </row>
    <row r="157" ht="15.75">
      <c r="C157" s="334"/>
    </row>
    <row r="158" ht="15.75">
      <c r="C158" s="334"/>
    </row>
    <row r="159" ht="15.75">
      <c r="C159" s="334"/>
    </row>
    <row r="160" ht="15.75">
      <c r="C160" s="334"/>
    </row>
    <row r="161" ht="15.75">
      <c r="C161" s="334"/>
    </row>
    <row r="162" ht="15.75">
      <c r="C162" s="334"/>
    </row>
    <row r="163" ht="15.75">
      <c r="C163" s="334"/>
    </row>
  </sheetData>
  <sheetProtection/>
  <mergeCells count="5">
    <mergeCell ref="A1:E1"/>
    <mergeCell ref="A2:B2"/>
    <mergeCell ref="A85:E85"/>
    <mergeCell ref="A86:B86"/>
    <mergeCell ref="E2:F2"/>
  </mergeCells>
  <printOptions/>
  <pageMargins left="0.31496062992125984" right="0.31496062992125984" top="0.8661417322834646" bottom="0.35433070866141736" header="0.31496062992125984" footer="0.31496062992125984"/>
  <pageSetup horizontalDpi="600" verticalDpi="600" orientation="landscape" paperSize="9" r:id="rId1"/>
  <headerFooter>
    <oddHeader>&amp;C&amp;"-,Félkövér"&amp;9Tiszagyulaháza község bevételeit és kiadásait bemutató mérleg 2013-2015 évekre&amp;R&amp;"-,Dőlt"&amp;8
 9.melléklet a 9/2016.(V.24.)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</dc:creator>
  <cp:keywords/>
  <dc:description/>
  <cp:lastModifiedBy>user</cp:lastModifiedBy>
  <cp:lastPrinted>2016-05-10T09:08:43Z</cp:lastPrinted>
  <dcterms:created xsi:type="dcterms:W3CDTF">2014-02-04T10:12:44Z</dcterms:created>
  <dcterms:modified xsi:type="dcterms:W3CDTF">2016-06-06T13:41:00Z</dcterms:modified>
  <cp:category/>
  <cp:version/>
  <cp:contentType/>
  <cp:contentStatus/>
</cp:coreProperties>
</file>